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910A3AC-BC55-443C-A56F-54534A9D360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FIGURACIÓN" sheetId="1" r:id="rId1"/>
    <sheet name="RESUMEN ANUAL" sheetId="2" r:id="rId2"/>
    <sheet name="ENERO" sheetId="3" r:id="rId3"/>
    <sheet name="FEBRERO" sheetId="4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4" l="1"/>
  <c r="G23" i="14"/>
  <c r="F23" i="14"/>
  <c r="E23" i="14"/>
  <c r="D23" i="14"/>
  <c r="C23" i="14"/>
  <c r="B23" i="14"/>
  <c r="A23" i="14"/>
  <c r="H22" i="14"/>
  <c r="G22" i="14"/>
  <c r="F22" i="14"/>
  <c r="E22" i="14"/>
  <c r="D22" i="14"/>
  <c r="C22" i="14"/>
  <c r="B22" i="14"/>
  <c r="M10" i="2" s="1"/>
  <c r="A22" i="14"/>
  <c r="H21" i="14"/>
  <c r="G21" i="14"/>
  <c r="F21" i="14"/>
  <c r="E21" i="14"/>
  <c r="D21" i="14"/>
  <c r="C21" i="14"/>
  <c r="B21" i="14"/>
  <c r="A21" i="14"/>
  <c r="H20" i="14"/>
  <c r="G20" i="14"/>
  <c r="F20" i="14"/>
  <c r="E20" i="14"/>
  <c r="D20" i="14"/>
  <c r="C20" i="14"/>
  <c r="B20" i="14"/>
  <c r="A20" i="14"/>
  <c r="H19" i="14"/>
  <c r="G19" i="14"/>
  <c r="F19" i="14"/>
  <c r="E19" i="14"/>
  <c r="D19" i="14"/>
  <c r="C19" i="14"/>
  <c r="B19" i="14"/>
  <c r="A19" i="14"/>
  <c r="H18" i="14"/>
  <c r="G18" i="14"/>
  <c r="F18" i="14"/>
  <c r="E18" i="14"/>
  <c r="D18" i="14"/>
  <c r="C18" i="14"/>
  <c r="B18" i="14"/>
  <c r="M6" i="2" s="1"/>
  <c r="A18" i="14"/>
  <c r="A13" i="14"/>
  <c r="A12" i="14"/>
  <c r="A11" i="14"/>
  <c r="A10" i="14"/>
  <c r="A9" i="14"/>
  <c r="A8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M3" i="14"/>
  <c r="AL3" i="14"/>
  <c r="AK3" i="14"/>
  <c r="AJ3" i="14"/>
  <c r="AI3" i="14"/>
  <c r="AH3" i="14"/>
  <c r="AG3" i="14"/>
  <c r="C3" i="14"/>
  <c r="AM2" i="14"/>
  <c r="AL2" i="14"/>
  <c r="AK2" i="14"/>
  <c r="AJ2" i="14"/>
  <c r="AI2" i="14"/>
  <c r="AH2" i="14"/>
  <c r="AG2" i="14"/>
  <c r="AM1" i="14"/>
  <c r="AL1" i="14"/>
  <c r="AK1" i="14"/>
  <c r="AJ1" i="14"/>
  <c r="AI1" i="14"/>
  <c r="AH1" i="14"/>
  <c r="AG1" i="14"/>
  <c r="H23" i="13"/>
  <c r="G23" i="13"/>
  <c r="F23" i="13"/>
  <c r="E23" i="13"/>
  <c r="D23" i="13"/>
  <c r="C23" i="13"/>
  <c r="B23" i="13"/>
  <c r="L11" i="2" s="1"/>
  <c r="A23" i="13"/>
  <c r="H22" i="13"/>
  <c r="G22" i="13"/>
  <c r="F22" i="13"/>
  <c r="E22" i="13"/>
  <c r="D22" i="13"/>
  <c r="C22" i="13"/>
  <c r="B22" i="13"/>
  <c r="A22" i="13"/>
  <c r="H21" i="13"/>
  <c r="G21" i="13"/>
  <c r="F21" i="13"/>
  <c r="E21" i="13"/>
  <c r="D21" i="13"/>
  <c r="C21" i="13"/>
  <c r="B21" i="13"/>
  <c r="A21" i="13"/>
  <c r="H20" i="13"/>
  <c r="G20" i="13"/>
  <c r="F20" i="13"/>
  <c r="E20" i="13"/>
  <c r="D20" i="13"/>
  <c r="C20" i="13"/>
  <c r="B20" i="13"/>
  <c r="L8" i="2" s="1"/>
  <c r="A20" i="13"/>
  <c r="H19" i="13"/>
  <c r="G19" i="13"/>
  <c r="F19" i="13"/>
  <c r="E19" i="13"/>
  <c r="D19" i="13"/>
  <c r="C19" i="13"/>
  <c r="B19" i="13"/>
  <c r="L7" i="2" s="1"/>
  <c r="A19" i="13"/>
  <c r="H18" i="13"/>
  <c r="G18" i="13"/>
  <c r="F18" i="13"/>
  <c r="E18" i="13"/>
  <c r="D18" i="13"/>
  <c r="C18" i="13"/>
  <c r="B18" i="13"/>
  <c r="A18" i="13"/>
  <c r="A13" i="13"/>
  <c r="A12" i="13"/>
  <c r="A11" i="13"/>
  <c r="A10" i="13"/>
  <c r="A9" i="13"/>
  <c r="A8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M3" i="13"/>
  <c r="AL3" i="13"/>
  <c r="AK3" i="13"/>
  <c r="AJ3" i="13"/>
  <c r="AI3" i="13"/>
  <c r="AH3" i="13"/>
  <c r="AG3" i="13"/>
  <c r="C3" i="13"/>
  <c r="AM2" i="13"/>
  <c r="AL2" i="13"/>
  <c r="AK2" i="13"/>
  <c r="AJ2" i="13"/>
  <c r="AI2" i="13"/>
  <c r="AH2" i="13"/>
  <c r="AG2" i="13"/>
  <c r="AM1" i="13"/>
  <c r="AL1" i="13"/>
  <c r="AK1" i="13"/>
  <c r="AJ1" i="13"/>
  <c r="AI1" i="13"/>
  <c r="AH1" i="13"/>
  <c r="AG1" i="13"/>
  <c r="H23" i="12"/>
  <c r="G23" i="12"/>
  <c r="F23" i="12"/>
  <c r="E23" i="12"/>
  <c r="D23" i="12"/>
  <c r="C23" i="12"/>
  <c r="B23" i="12"/>
  <c r="K11" i="2" s="1"/>
  <c r="A23" i="12"/>
  <c r="H22" i="12"/>
  <c r="G22" i="12"/>
  <c r="F22" i="12"/>
  <c r="E22" i="12"/>
  <c r="D22" i="12"/>
  <c r="C22" i="12"/>
  <c r="B22" i="12"/>
  <c r="K10" i="2" s="1"/>
  <c r="A22" i="12"/>
  <c r="H21" i="12"/>
  <c r="G21" i="12"/>
  <c r="F21" i="12"/>
  <c r="E21" i="12"/>
  <c r="D21" i="12"/>
  <c r="C21" i="12"/>
  <c r="B21" i="12"/>
  <c r="A21" i="12"/>
  <c r="H20" i="12"/>
  <c r="G20" i="12"/>
  <c r="F20" i="12"/>
  <c r="E20" i="12"/>
  <c r="D20" i="12"/>
  <c r="C20" i="12"/>
  <c r="B20" i="12"/>
  <c r="A20" i="12"/>
  <c r="H19" i="12"/>
  <c r="G19" i="12"/>
  <c r="F19" i="12"/>
  <c r="E19" i="12"/>
  <c r="D19" i="12"/>
  <c r="C19" i="12"/>
  <c r="B19" i="12"/>
  <c r="K7" i="2" s="1"/>
  <c r="A19" i="12"/>
  <c r="H18" i="12"/>
  <c r="G18" i="12"/>
  <c r="F18" i="12"/>
  <c r="E18" i="12"/>
  <c r="D18" i="12"/>
  <c r="C18" i="12"/>
  <c r="B18" i="12"/>
  <c r="K6" i="2" s="1"/>
  <c r="A18" i="12"/>
  <c r="A13" i="12"/>
  <c r="A12" i="12"/>
  <c r="A11" i="12"/>
  <c r="A10" i="12"/>
  <c r="A9" i="12"/>
  <c r="A8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M3" i="12"/>
  <c r="AL3" i="12"/>
  <c r="AK3" i="12"/>
  <c r="AJ3" i="12"/>
  <c r="AI3" i="12"/>
  <c r="AH3" i="12"/>
  <c r="AG3" i="12"/>
  <c r="C3" i="12"/>
  <c r="AM2" i="12"/>
  <c r="AL2" i="12"/>
  <c r="AK2" i="12"/>
  <c r="AJ2" i="12"/>
  <c r="AI2" i="12"/>
  <c r="AH2" i="12"/>
  <c r="AG2" i="12"/>
  <c r="AM1" i="12"/>
  <c r="AL1" i="12"/>
  <c r="AK1" i="12"/>
  <c r="AJ1" i="12"/>
  <c r="AI1" i="12"/>
  <c r="AH1" i="12"/>
  <c r="AG1" i="12"/>
  <c r="H23" i="11"/>
  <c r="G23" i="11"/>
  <c r="F23" i="11"/>
  <c r="E23" i="11"/>
  <c r="D23" i="11"/>
  <c r="C23" i="11"/>
  <c r="B23" i="11"/>
  <c r="A23" i="11"/>
  <c r="H22" i="11"/>
  <c r="G22" i="11"/>
  <c r="F22" i="11"/>
  <c r="E22" i="11"/>
  <c r="D22" i="11"/>
  <c r="C22" i="11"/>
  <c r="B22" i="11"/>
  <c r="A22" i="11"/>
  <c r="H21" i="11"/>
  <c r="G21" i="11"/>
  <c r="F21" i="11"/>
  <c r="E21" i="11"/>
  <c r="D21" i="11"/>
  <c r="C21" i="11"/>
  <c r="B21" i="11"/>
  <c r="A21" i="11"/>
  <c r="H20" i="11"/>
  <c r="G20" i="11"/>
  <c r="F20" i="11"/>
  <c r="E20" i="11"/>
  <c r="D20" i="11"/>
  <c r="C20" i="11"/>
  <c r="B20" i="11"/>
  <c r="J8" i="2" s="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A13" i="11"/>
  <c r="A12" i="11"/>
  <c r="A11" i="11"/>
  <c r="A10" i="11"/>
  <c r="A9" i="11"/>
  <c r="A8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M3" i="11"/>
  <c r="AL3" i="11"/>
  <c r="AK3" i="11"/>
  <c r="AJ3" i="11"/>
  <c r="AI3" i="11"/>
  <c r="AH3" i="11"/>
  <c r="AG3" i="11"/>
  <c r="C3" i="11"/>
  <c r="AM2" i="11"/>
  <c r="AL2" i="11"/>
  <c r="AK2" i="11"/>
  <c r="AJ2" i="11"/>
  <c r="AI2" i="11"/>
  <c r="AH2" i="11"/>
  <c r="AG2" i="11"/>
  <c r="AM1" i="11"/>
  <c r="AL1" i="11"/>
  <c r="AK1" i="11"/>
  <c r="AJ1" i="11"/>
  <c r="AI1" i="11"/>
  <c r="AH1" i="11"/>
  <c r="AG1" i="11"/>
  <c r="H23" i="10"/>
  <c r="G23" i="10"/>
  <c r="F23" i="10"/>
  <c r="E23" i="10"/>
  <c r="D23" i="10"/>
  <c r="C23" i="10"/>
  <c r="B23" i="10"/>
  <c r="A23" i="10"/>
  <c r="H22" i="10"/>
  <c r="G22" i="10"/>
  <c r="F22" i="10"/>
  <c r="E22" i="10"/>
  <c r="D22" i="10"/>
  <c r="C22" i="10"/>
  <c r="B22" i="10"/>
  <c r="I10" i="2" s="1"/>
  <c r="A22" i="10"/>
  <c r="H21" i="10"/>
  <c r="G21" i="10"/>
  <c r="F21" i="10"/>
  <c r="E21" i="10"/>
  <c r="D21" i="10"/>
  <c r="C21" i="10"/>
  <c r="B21" i="10"/>
  <c r="I9" i="2" s="1"/>
  <c r="A21" i="10"/>
  <c r="H20" i="10"/>
  <c r="G20" i="10"/>
  <c r="F20" i="10"/>
  <c r="E20" i="10"/>
  <c r="D20" i="10"/>
  <c r="C20" i="10"/>
  <c r="B20" i="10"/>
  <c r="A20" i="10"/>
  <c r="H19" i="10"/>
  <c r="G19" i="10"/>
  <c r="F19" i="10"/>
  <c r="E19" i="10"/>
  <c r="D19" i="10"/>
  <c r="C19" i="10"/>
  <c r="B19" i="10"/>
  <c r="I7" i="2" s="1"/>
  <c r="A19" i="10"/>
  <c r="H18" i="10"/>
  <c r="G18" i="10"/>
  <c r="F18" i="10"/>
  <c r="E18" i="10"/>
  <c r="D18" i="10"/>
  <c r="C18" i="10"/>
  <c r="B18" i="10"/>
  <c r="I6" i="2" s="1"/>
  <c r="A18" i="10"/>
  <c r="A13" i="10"/>
  <c r="A12" i="10"/>
  <c r="A11" i="10"/>
  <c r="A10" i="10"/>
  <c r="A9" i="10"/>
  <c r="A8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M3" i="10"/>
  <c r="AL3" i="10"/>
  <c r="AK3" i="10"/>
  <c r="AJ3" i="10"/>
  <c r="AI3" i="10"/>
  <c r="AH3" i="10"/>
  <c r="AG3" i="10"/>
  <c r="C3" i="10"/>
  <c r="AM2" i="10"/>
  <c r="AL2" i="10"/>
  <c r="AK2" i="10"/>
  <c r="AJ2" i="10"/>
  <c r="AI2" i="10"/>
  <c r="AH2" i="10"/>
  <c r="AG2" i="10"/>
  <c r="AM1" i="10"/>
  <c r="AL1" i="10"/>
  <c r="AK1" i="10"/>
  <c r="AJ1" i="10"/>
  <c r="AI1" i="10"/>
  <c r="AH1" i="10"/>
  <c r="AG1" i="10"/>
  <c r="H23" i="9"/>
  <c r="G23" i="9"/>
  <c r="F23" i="9"/>
  <c r="E23" i="9"/>
  <c r="D23" i="9"/>
  <c r="C23" i="9"/>
  <c r="B23" i="9"/>
  <c r="H11" i="2" s="1"/>
  <c r="A23" i="9"/>
  <c r="H22" i="9"/>
  <c r="G22" i="9"/>
  <c r="F22" i="9"/>
  <c r="E22" i="9"/>
  <c r="D22" i="9"/>
  <c r="C22" i="9"/>
  <c r="B22" i="9"/>
  <c r="H10" i="2" s="1"/>
  <c r="A22" i="9"/>
  <c r="H21" i="9"/>
  <c r="G21" i="9"/>
  <c r="F21" i="9"/>
  <c r="E21" i="9"/>
  <c r="D21" i="9"/>
  <c r="C21" i="9"/>
  <c r="B21" i="9"/>
  <c r="H9" i="2" s="1"/>
  <c r="A21" i="9"/>
  <c r="H20" i="9"/>
  <c r="G20" i="9"/>
  <c r="F20" i="9"/>
  <c r="E20" i="9"/>
  <c r="D20" i="9"/>
  <c r="C20" i="9"/>
  <c r="B20" i="9"/>
  <c r="A20" i="9"/>
  <c r="H19" i="9"/>
  <c r="G19" i="9"/>
  <c r="F19" i="9"/>
  <c r="E19" i="9"/>
  <c r="D19" i="9"/>
  <c r="C19" i="9"/>
  <c r="B19" i="9"/>
  <c r="A19" i="9"/>
  <c r="H18" i="9"/>
  <c r="G18" i="9"/>
  <c r="F18" i="9"/>
  <c r="E18" i="9"/>
  <c r="D18" i="9"/>
  <c r="C18" i="9"/>
  <c r="B18" i="9"/>
  <c r="H6" i="2" s="1"/>
  <c r="A18" i="9"/>
  <c r="A13" i="9"/>
  <c r="A12" i="9"/>
  <c r="A11" i="9"/>
  <c r="A10" i="9"/>
  <c r="A9" i="9"/>
  <c r="A8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M3" i="9"/>
  <c r="AL3" i="9"/>
  <c r="AK3" i="9"/>
  <c r="AJ3" i="9"/>
  <c r="AI3" i="9"/>
  <c r="AH3" i="9"/>
  <c r="AG3" i="9"/>
  <c r="C3" i="9"/>
  <c r="AM2" i="9"/>
  <c r="AL2" i="9"/>
  <c r="AK2" i="9"/>
  <c r="AJ2" i="9"/>
  <c r="AI2" i="9"/>
  <c r="AH2" i="9"/>
  <c r="AG2" i="9"/>
  <c r="AM1" i="9"/>
  <c r="AL1" i="9"/>
  <c r="AK1" i="9"/>
  <c r="AJ1" i="9"/>
  <c r="AI1" i="9"/>
  <c r="AH1" i="9"/>
  <c r="AG1" i="9"/>
  <c r="H23" i="8"/>
  <c r="G23" i="8"/>
  <c r="F23" i="8"/>
  <c r="E23" i="8"/>
  <c r="D23" i="8"/>
  <c r="C23" i="8"/>
  <c r="B23" i="8"/>
  <c r="G11" i="2" s="1"/>
  <c r="A23" i="8"/>
  <c r="H22" i="8"/>
  <c r="G22" i="8"/>
  <c r="F22" i="8"/>
  <c r="E22" i="8"/>
  <c r="D22" i="8"/>
  <c r="C22" i="8"/>
  <c r="B22" i="8"/>
  <c r="G10" i="2" s="1"/>
  <c r="A22" i="8"/>
  <c r="H21" i="8"/>
  <c r="G21" i="8"/>
  <c r="F21" i="8"/>
  <c r="E21" i="8"/>
  <c r="D21" i="8"/>
  <c r="C21" i="8"/>
  <c r="B21" i="8"/>
  <c r="G9" i="2" s="1"/>
  <c r="A21" i="8"/>
  <c r="H20" i="8"/>
  <c r="G20" i="8"/>
  <c r="F20" i="8"/>
  <c r="E20" i="8"/>
  <c r="D20" i="8"/>
  <c r="C20" i="8"/>
  <c r="B20" i="8"/>
  <c r="G8" i="2" s="1"/>
  <c r="A20" i="8"/>
  <c r="H19" i="8"/>
  <c r="G19" i="8"/>
  <c r="F19" i="8"/>
  <c r="E19" i="8"/>
  <c r="D19" i="8"/>
  <c r="C19" i="8"/>
  <c r="B19" i="8"/>
  <c r="G7" i="2" s="1"/>
  <c r="A19" i="8"/>
  <c r="H18" i="8"/>
  <c r="G18" i="8"/>
  <c r="F18" i="8"/>
  <c r="E18" i="8"/>
  <c r="D18" i="8"/>
  <c r="C18" i="8"/>
  <c r="B18" i="8"/>
  <c r="G6" i="2" s="1"/>
  <c r="A18" i="8"/>
  <c r="A13" i="8"/>
  <c r="A12" i="8"/>
  <c r="A11" i="8"/>
  <c r="A10" i="8"/>
  <c r="A9" i="8"/>
  <c r="A8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M3" i="8"/>
  <c r="AL3" i="8"/>
  <c r="AK3" i="8"/>
  <c r="AJ3" i="8"/>
  <c r="AI3" i="8"/>
  <c r="AH3" i="8"/>
  <c r="AG3" i="8"/>
  <c r="C3" i="8"/>
  <c r="AM2" i="8"/>
  <c r="AL2" i="8"/>
  <c r="AK2" i="8"/>
  <c r="AJ2" i="8"/>
  <c r="AI2" i="8"/>
  <c r="AH2" i="8"/>
  <c r="AG2" i="8"/>
  <c r="AM1" i="8"/>
  <c r="AL1" i="8"/>
  <c r="AK1" i="8"/>
  <c r="AJ1" i="8"/>
  <c r="AI1" i="8"/>
  <c r="AH1" i="8"/>
  <c r="AG1" i="8"/>
  <c r="H23" i="7"/>
  <c r="G23" i="7"/>
  <c r="F23" i="7"/>
  <c r="E23" i="7"/>
  <c r="D23" i="7"/>
  <c r="C23" i="7"/>
  <c r="B23" i="7"/>
  <c r="F11" i="2" s="1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G20" i="7"/>
  <c r="F20" i="7"/>
  <c r="E20" i="7"/>
  <c r="D20" i="7"/>
  <c r="C20" i="7"/>
  <c r="B20" i="7"/>
  <c r="F8" i="2" s="1"/>
  <c r="A20" i="7"/>
  <c r="H19" i="7"/>
  <c r="G19" i="7"/>
  <c r="F19" i="7"/>
  <c r="E19" i="7"/>
  <c r="D19" i="7"/>
  <c r="C19" i="7"/>
  <c r="B19" i="7"/>
  <c r="A19" i="7"/>
  <c r="H18" i="7"/>
  <c r="G18" i="7"/>
  <c r="F18" i="7"/>
  <c r="E18" i="7"/>
  <c r="D18" i="7"/>
  <c r="C18" i="7"/>
  <c r="B18" i="7"/>
  <c r="A18" i="7"/>
  <c r="A13" i="7"/>
  <c r="A12" i="7"/>
  <c r="A11" i="7"/>
  <c r="A10" i="7"/>
  <c r="A9" i="7"/>
  <c r="A8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M3" i="7"/>
  <c r="AL3" i="7"/>
  <c r="AK3" i="7"/>
  <c r="AJ3" i="7"/>
  <c r="AI3" i="7"/>
  <c r="AH3" i="7"/>
  <c r="AG3" i="7"/>
  <c r="C3" i="7"/>
  <c r="AM2" i="7"/>
  <c r="AL2" i="7"/>
  <c r="AK2" i="7"/>
  <c r="AJ2" i="7"/>
  <c r="AI2" i="7"/>
  <c r="AH2" i="7"/>
  <c r="AG2" i="7"/>
  <c r="AM1" i="7"/>
  <c r="AL1" i="7"/>
  <c r="AK1" i="7"/>
  <c r="AJ1" i="7"/>
  <c r="AI1" i="7"/>
  <c r="AH1" i="7"/>
  <c r="AG1" i="7"/>
  <c r="H23" i="6"/>
  <c r="G23" i="6"/>
  <c r="F23" i="6"/>
  <c r="E23" i="6"/>
  <c r="D23" i="6"/>
  <c r="C23" i="6"/>
  <c r="B23" i="6"/>
  <c r="E11" i="2" s="1"/>
  <c r="A23" i="6"/>
  <c r="H22" i="6"/>
  <c r="G22" i="6"/>
  <c r="F22" i="6"/>
  <c r="E22" i="6"/>
  <c r="D22" i="6"/>
  <c r="C22" i="6"/>
  <c r="B22" i="6"/>
  <c r="E10" i="2" s="1"/>
  <c r="A22" i="6"/>
  <c r="H21" i="6"/>
  <c r="G21" i="6"/>
  <c r="F21" i="6"/>
  <c r="E21" i="6"/>
  <c r="D21" i="6"/>
  <c r="C21" i="6"/>
  <c r="B21" i="6"/>
  <c r="E9" i="2" s="1"/>
  <c r="A21" i="6"/>
  <c r="H20" i="6"/>
  <c r="G20" i="6"/>
  <c r="F20" i="6"/>
  <c r="E20" i="6"/>
  <c r="D20" i="6"/>
  <c r="C20" i="6"/>
  <c r="B20" i="6"/>
  <c r="E8" i="2" s="1"/>
  <c r="A20" i="6"/>
  <c r="H19" i="6"/>
  <c r="G19" i="6"/>
  <c r="F19" i="6"/>
  <c r="E19" i="6"/>
  <c r="D19" i="6"/>
  <c r="C19" i="6"/>
  <c r="B19" i="6"/>
  <c r="E7" i="2" s="1"/>
  <c r="A19" i="6"/>
  <c r="H18" i="6"/>
  <c r="G18" i="6"/>
  <c r="F18" i="6"/>
  <c r="E18" i="6"/>
  <c r="D18" i="6"/>
  <c r="C18" i="6"/>
  <c r="B18" i="6"/>
  <c r="E6" i="2" s="1"/>
  <c r="A18" i="6"/>
  <c r="A13" i="6"/>
  <c r="A12" i="6"/>
  <c r="A11" i="6"/>
  <c r="A10" i="6"/>
  <c r="A9" i="6"/>
  <c r="A8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M3" i="6"/>
  <c r="AL3" i="6"/>
  <c r="AK3" i="6"/>
  <c r="AJ3" i="6"/>
  <c r="AI3" i="6"/>
  <c r="AH3" i="6"/>
  <c r="AG3" i="6"/>
  <c r="C3" i="6"/>
  <c r="AM2" i="6"/>
  <c r="AL2" i="6"/>
  <c r="AK2" i="6"/>
  <c r="AJ2" i="6"/>
  <c r="AI2" i="6"/>
  <c r="AH2" i="6"/>
  <c r="AG2" i="6"/>
  <c r="AM1" i="6"/>
  <c r="AL1" i="6"/>
  <c r="AK1" i="6"/>
  <c r="AJ1" i="6"/>
  <c r="AI1" i="6"/>
  <c r="AH1" i="6"/>
  <c r="AG1" i="6"/>
  <c r="H23" i="5"/>
  <c r="G23" i="5"/>
  <c r="F23" i="5"/>
  <c r="E23" i="5"/>
  <c r="D23" i="5"/>
  <c r="C23" i="5"/>
  <c r="B23" i="5"/>
  <c r="D11" i="2" s="1"/>
  <c r="A23" i="5"/>
  <c r="H22" i="5"/>
  <c r="G22" i="5"/>
  <c r="F22" i="5"/>
  <c r="E22" i="5"/>
  <c r="D22" i="5"/>
  <c r="C22" i="5"/>
  <c r="B22" i="5"/>
  <c r="D10" i="2" s="1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O7" i="2" s="1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D6" i="2" s="1"/>
  <c r="A18" i="5"/>
  <c r="A13" i="5"/>
  <c r="A12" i="5"/>
  <c r="A11" i="5"/>
  <c r="A10" i="5"/>
  <c r="A9" i="5"/>
  <c r="A8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M3" i="5"/>
  <c r="AL3" i="5"/>
  <c r="AK3" i="5"/>
  <c r="AJ3" i="5"/>
  <c r="AI3" i="5"/>
  <c r="AH3" i="5"/>
  <c r="AG3" i="5"/>
  <c r="C3" i="5"/>
  <c r="AM2" i="5"/>
  <c r="AL2" i="5"/>
  <c r="AK2" i="5"/>
  <c r="AJ2" i="5"/>
  <c r="AI2" i="5"/>
  <c r="AH2" i="5"/>
  <c r="AG2" i="5"/>
  <c r="AM1" i="5"/>
  <c r="AL1" i="5"/>
  <c r="AK1" i="5"/>
  <c r="AJ1" i="5"/>
  <c r="AI1" i="5"/>
  <c r="AH1" i="5"/>
  <c r="AG1" i="5"/>
  <c r="H23" i="4"/>
  <c r="G23" i="4"/>
  <c r="O11" i="2" s="1"/>
  <c r="F23" i="4"/>
  <c r="E23" i="4"/>
  <c r="D23" i="4"/>
  <c r="C23" i="4"/>
  <c r="B23" i="4"/>
  <c r="C11" i="2" s="1"/>
  <c r="A23" i="4"/>
  <c r="H22" i="4"/>
  <c r="G22" i="4"/>
  <c r="F22" i="4"/>
  <c r="E22" i="4"/>
  <c r="D22" i="4"/>
  <c r="C22" i="4"/>
  <c r="B22" i="4"/>
  <c r="C10" i="2" s="1"/>
  <c r="A22" i="4"/>
  <c r="H21" i="4"/>
  <c r="G21" i="4"/>
  <c r="F21" i="4"/>
  <c r="E21" i="4"/>
  <c r="D21" i="4"/>
  <c r="C21" i="4"/>
  <c r="B21" i="4"/>
  <c r="A21" i="4"/>
  <c r="H20" i="4"/>
  <c r="G20" i="4"/>
  <c r="O8" i="2" s="1"/>
  <c r="F20" i="4"/>
  <c r="E20" i="4"/>
  <c r="D20" i="4"/>
  <c r="C20" i="4"/>
  <c r="B20" i="4"/>
  <c r="C8" i="2" s="1"/>
  <c r="A20" i="4"/>
  <c r="H19" i="4"/>
  <c r="G19" i="4"/>
  <c r="F19" i="4"/>
  <c r="E19" i="4"/>
  <c r="D19" i="4"/>
  <c r="C19" i="4"/>
  <c r="B19" i="4"/>
  <c r="C7" i="2" s="1"/>
  <c r="A19" i="4"/>
  <c r="H18" i="4"/>
  <c r="G18" i="4"/>
  <c r="F18" i="4"/>
  <c r="E18" i="4"/>
  <c r="D18" i="4"/>
  <c r="C18" i="4"/>
  <c r="B18" i="4"/>
  <c r="C6" i="2" s="1"/>
  <c r="A18" i="4"/>
  <c r="A13" i="4"/>
  <c r="A12" i="4"/>
  <c r="A11" i="4"/>
  <c r="A10" i="4"/>
  <c r="A9" i="4"/>
  <c r="A8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M3" i="4"/>
  <c r="AL3" i="4"/>
  <c r="AK3" i="4"/>
  <c r="AJ3" i="4"/>
  <c r="AI3" i="4"/>
  <c r="AH3" i="4"/>
  <c r="AG3" i="4"/>
  <c r="C3" i="4"/>
  <c r="AM2" i="4"/>
  <c r="AL2" i="4"/>
  <c r="AK2" i="4"/>
  <c r="AJ2" i="4"/>
  <c r="AI2" i="4"/>
  <c r="AH2" i="4"/>
  <c r="AG2" i="4"/>
  <c r="AM1" i="4"/>
  <c r="AL1" i="4"/>
  <c r="AK1" i="4"/>
  <c r="AJ1" i="4"/>
  <c r="AI1" i="4"/>
  <c r="AH1" i="4"/>
  <c r="AG1" i="4"/>
  <c r="H23" i="3"/>
  <c r="G23" i="3"/>
  <c r="F23" i="3"/>
  <c r="E23" i="3"/>
  <c r="D23" i="3"/>
  <c r="C23" i="3"/>
  <c r="B23" i="3"/>
  <c r="A23" i="3"/>
  <c r="H22" i="3"/>
  <c r="G22" i="3"/>
  <c r="O10" i="2" s="1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B9" i="2" s="1"/>
  <c r="A21" i="3"/>
  <c r="H20" i="3"/>
  <c r="G20" i="3"/>
  <c r="F20" i="3"/>
  <c r="E20" i="3"/>
  <c r="D20" i="3"/>
  <c r="C20" i="3"/>
  <c r="B20" i="3"/>
  <c r="B8" i="2" s="1"/>
  <c r="A20" i="3"/>
  <c r="H19" i="3"/>
  <c r="G19" i="3"/>
  <c r="F19" i="3"/>
  <c r="E19" i="3"/>
  <c r="D19" i="3"/>
  <c r="C19" i="3"/>
  <c r="B19" i="3"/>
  <c r="B7" i="2" s="1"/>
  <c r="A19" i="3"/>
  <c r="H18" i="3"/>
  <c r="G18" i="3"/>
  <c r="F18" i="3"/>
  <c r="E18" i="3"/>
  <c r="D18" i="3"/>
  <c r="C18" i="3"/>
  <c r="B18" i="3"/>
  <c r="B6" i="2" s="1"/>
  <c r="A18" i="3"/>
  <c r="A13" i="3"/>
  <c r="A12" i="3"/>
  <c r="A11" i="3"/>
  <c r="A10" i="3"/>
  <c r="A9" i="3"/>
  <c r="A8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M3" i="3"/>
  <c r="AL3" i="3"/>
  <c r="AK3" i="3"/>
  <c r="AJ3" i="3"/>
  <c r="AI3" i="3"/>
  <c r="AH3" i="3"/>
  <c r="AG3" i="3"/>
  <c r="C3" i="3"/>
  <c r="AM2" i="3"/>
  <c r="AL2" i="3"/>
  <c r="AK2" i="3"/>
  <c r="AJ2" i="3"/>
  <c r="AI2" i="3"/>
  <c r="AH2" i="3"/>
  <c r="AG2" i="3"/>
  <c r="AM1" i="3"/>
  <c r="AL1" i="3"/>
  <c r="AK1" i="3"/>
  <c r="AJ1" i="3"/>
  <c r="AI1" i="3"/>
  <c r="AH1" i="3"/>
  <c r="AG1" i="3"/>
  <c r="M11" i="2"/>
  <c r="J11" i="2"/>
  <c r="I11" i="2"/>
  <c r="B11" i="2"/>
  <c r="A11" i="2"/>
  <c r="L10" i="2"/>
  <c r="J10" i="2"/>
  <c r="F10" i="2"/>
  <c r="B10" i="2"/>
  <c r="A10" i="2"/>
  <c r="O9" i="2"/>
  <c r="M9" i="2"/>
  <c r="L9" i="2"/>
  <c r="K9" i="2"/>
  <c r="J9" i="2"/>
  <c r="F9" i="2"/>
  <c r="D9" i="2"/>
  <c r="C9" i="2"/>
  <c r="A9" i="2"/>
  <c r="M8" i="2"/>
  <c r="K8" i="2"/>
  <c r="I8" i="2"/>
  <c r="H8" i="2"/>
  <c r="D8" i="2"/>
  <c r="A8" i="2"/>
  <c r="M7" i="2"/>
  <c r="J7" i="2"/>
  <c r="H7" i="2"/>
  <c r="F7" i="2"/>
  <c r="D7" i="2"/>
  <c r="A7" i="2"/>
  <c r="L6" i="2"/>
  <c r="J6" i="2"/>
  <c r="F6" i="2"/>
  <c r="A6" i="2"/>
  <c r="B3" i="2"/>
  <c r="O6" i="2" l="1"/>
  <c r="N10" i="2"/>
  <c r="N7" i="2"/>
  <c r="N6" i="2"/>
  <c r="N8" i="2"/>
  <c r="N11" i="2"/>
  <c r="N9" i="2"/>
</calcChain>
</file>

<file path=xl/sharedStrings.xml><?xml version="1.0" encoding="utf-8"?>
<sst xmlns="http://schemas.openxmlformats.org/spreadsheetml/2006/main" count="598" uniqueCount="75">
  <si>
    <t>CONFIGURACIÓN · CUADRANTE ANUAL</t>
  </si>
  <si>
    <t>AÑO</t>
  </si>
  <si>
    <t>EMPRESA / CENTRO</t>
  </si>
  <si>
    <t>CENTRO DE TRABAJO</t>
  </si>
  <si>
    <t>RESPONSABLE</t>
  </si>
  <si>
    <t>TRABAJADOR 1</t>
  </si>
  <si>
    <t>NOMBRE Y APELLIDOS</t>
  </si>
  <si>
    <t>TRABAJADOR 2</t>
  </si>
  <si>
    <t>TRABAJADOR 3</t>
  </si>
  <si>
    <t>TRABAJADOR 4</t>
  </si>
  <si>
    <t>TRABAJADOR 5</t>
  </si>
  <si>
    <t>TRABAJADOR 6</t>
  </si>
  <si>
    <t>TURNO</t>
  </si>
  <si>
    <t>HORARIO</t>
  </si>
  <si>
    <t>COLOR</t>
  </si>
  <si>
    <t>HORAS</t>
  </si>
  <si>
    <t>DESCRIPCIÓN</t>
  </si>
  <si>
    <t>M</t>
  </si>
  <si>
    <t>09:00-15:30</t>
  </si>
  <si>
    <t>VERDE</t>
  </si>
  <si>
    <t>Mañana</t>
  </si>
  <si>
    <t>T</t>
  </si>
  <si>
    <t>15:30-22:15</t>
  </si>
  <si>
    <t>AZUL</t>
  </si>
  <si>
    <t>Tarde</t>
  </si>
  <si>
    <t>TURQUESA</t>
  </si>
  <si>
    <t>N</t>
  </si>
  <si>
    <t>22:00-06:00</t>
  </si>
  <si>
    <t>ROJO</t>
  </si>
  <si>
    <t>Noche</t>
  </si>
  <si>
    <t>L</t>
  </si>
  <si>
    <t>VERDE CLARO</t>
  </si>
  <si>
    <t>Libre</t>
  </si>
  <si>
    <t>V</t>
  </si>
  <si>
    <t>NARANJA</t>
  </si>
  <si>
    <t>Vacaciones</t>
  </si>
  <si>
    <t>B</t>
  </si>
  <si>
    <t>GRIS</t>
  </si>
  <si>
    <t>Baja / permiso</t>
  </si>
  <si>
    <t>BLANCO</t>
  </si>
  <si>
    <t>Sin asignar</t>
  </si>
  <si>
    <t>INSTRUCCIONES</t>
  </si>
  <si>
    <t>1. Completa el año, centro, responsable y los seis trabajadores.</t>
  </si>
  <si>
    <t>2. Cada mes presenta los trabajadores en filas y los días en columnas, como un cuadrante operativo.</t>
  </si>
  <si>
    <t>3. Personaliza el código, horario, color y horas de cada turno en la tabla. Usa la lista de colores.</t>
  </si>
  <si>
    <t>4. Los desplegables, colores, cálculos mensuales y resumen anual se actualizan automáticamente.</t>
  </si>
  <si>
    <t>RESUMEN ANUAL DE CUADRANTES</t>
  </si>
  <si>
    <t>TRABAJADOR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</si>
  <si>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</si>
  <si>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</si>
  <si>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</si>
  <si>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</si>
  <si>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</si>
  <si>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</si>
  <si>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</si>
  <si>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</si>
  <si>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</si>
  <si>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</si>
  <si>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</si>
  <si>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</si>
  <si>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</si>
  <si>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VACACIONES</t>
  </si>
  <si>
    <t>CUADRANTE MENSUAL DE PERSONAL</t>
  </si>
  <si>
    <t>EMPLEADOS</t>
  </si>
  <si>
    <t>RESUMEN MENSUAL POR TRABAJADOR</t>
  </si>
  <si>
    <t>OBSERVACIONES · CAMBIOS · INCIDENCIAS</t>
  </si>
  <si>
    <t>MAÑANAS</t>
  </si>
  <si>
    <t>TARDES</t>
  </si>
  <si>
    <t>NOCHES</t>
  </si>
  <si>
    <t>LIBRES</t>
  </si>
  <si>
    <t>BAJAS / PERMISOS</t>
  </si>
  <si>
    <t>Escriba aquí cualquier modificación, sustitución, permiso o incidencia del cuadrante.</t>
  </si>
  <si>
    <t>Tarde Noche</t>
  </si>
  <si>
    <t>TN</t>
  </si>
  <si>
    <t>18:00-06:00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</si>
</sst>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rlito"/>
    </font>
    <font>
      <b/>
      <sz val="19"/>
      <color rgb="FFFFFFFF"/>
      <name val="Carlito"/>
    </font>
    <font>
      <b/>
      <sz val="11"/>
      <color rgb="FFFFFFFF"/>
      <name val="Carlito"/>
    </font>
    <font>
      <b/>
      <sz val="11"/>
      <color rgb="FF071C35"/>
      <name val="Carlito"/>
    </font>
    <font>
      <sz val="11"/>
      <color rgb="FF071C35"/>
      <name val="Carlito"/>
    </font>
    <font>
      <b/>
      <sz val="20"/>
      <color rgb="FFFFFFFF"/>
      <name val="Carlito"/>
    </font>
    <font>
      <b/>
      <sz val="18"/>
      <color rgb="FFFFFFFF"/>
      <name val="Carlito"/>
    </font>
    <font>
      <b/>
      <sz val="8"/>
      <color rgb="FF5C6878"/>
      <name val="Carlito"/>
    </font>
    <font>
      <b/>
      <sz val="8"/>
      <name val="Carlito"/>
    </font>
    <font>
      <i/>
      <sz val="11"/>
      <color rgb="FF7B8490"/>
      <name val="Carlito"/>
    </font>
  </fonts>
  <fills count="43">
    <fill>
      <patternFill patternType="none"/>
    </fill>
    <fill>
      <patternFill patternType="gray125"/>
    </fill>
    <fill>
      <patternFill patternType="solid">
        <fgColor rgb="FF082653"/>
      </patternFill>
    </fill>
    <fill>
      <patternFill patternType="solid">
        <fgColor rgb="FFFFF3C7"/>
      </patternFill>
    </fill>
    <fill>
      <patternFill patternType="solid">
        <fgColor rgb="FF071C35"/>
      </patternFill>
    </fill>
    <fill>
      <patternFill patternType="solid">
        <fgColor rgb="FF18D449"/>
      </patternFill>
    </fill>
    <fill>
      <patternFill patternType="solid">
        <fgColor rgb="FF1238E8"/>
      </patternFill>
    </fill>
    <fill>
      <patternFill patternType="solid">
        <fgColor rgb="FF00A8C8"/>
      </patternFill>
    </fill>
    <fill>
      <patternFill patternType="solid">
        <fgColor rgb="FFF02020"/>
      </patternFill>
    </fill>
    <fill>
      <patternFill patternType="solid">
        <fgColor rgb="FFDCEAC8"/>
      </patternFill>
    </fill>
    <fill>
      <patternFill patternType="solid">
        <fgColor rgb="FFF2A25C"/>
      </patternFill>
    </fill>
    <fill>
      <patternFill patternType="solid">
        <fgColor rgb="FFB8BCC4"/>
      </patternFill>
    </fill>
    <fill>
      <patternFill patternType="solid">
        <fgColor rgb="FFFFFFFF"/>
      </patternFill>
    </fill>
    <fill>
      <patternFill patternType="solid">
        <fgColor rgb="FFC89435"/>
      </patternFill>
    </fill>
    <fill>
      <patternFill patternType="solid">
        <fgColor rgb="FFF2F5F8"/>
      </patternFill>
    </fill>
    <fill>
      <patternFill patternType="solid">
        <fgColor rgb="FFE8EEF6"/>
      </patternFill>
    </fill>
    <fill>
      <patternFill patternType="solid">
        <fgColor rgb="FFF3D37E"/>
      </patternFill>
    </fill>
    <fill>
      <patternFill patternType="solid">
        <fgColor rgb="FF0B3C5D"/>
      </patternFill>
    </fill>
    <fill>
      <patternFill patternType="solid">
        <fgColor rgb="FFD9EEF7"/>
      </patternFill>
    </fill>
    <fill>
      <patternFill patternType="solid">
        <fgColor rgb="FFEDF1F5"/>
      </patternFill>
    </fill>
    <fill>
      <patternFill patternType="solid">
        <fgColor rgb="FFA7A9AC"/>
      </patternFill>
    </fill>
    <fill>
      <patternFill patternType="solid">
        <fgColor rgb="FFFFFDF5"/>
      </patternFill>
    </fill>
    <fill>
      <patternFill patternType="solid">
        <fgColor rgb="FF7A1F5C"/>
      </patternFill>
    </fill>
    <fill>
      <patternFill patternType="solid">
        <fgColor rgb="FFF6DDEC"/>
      </patternFill>
    </fill>
    <fill>
      <patternFill patternType="solid">
        <fgColor rgb="FF256D3B"/>
      </patternFill>
    </fill>
    <fill>
      <patternFill patternType="solid">
        <fgColor rgb="FFDFF2E4"/>
      </patternFill>
    </fill>
    <fill>
      <patternFill patternType="solid">
        <fgColor rgb="FF7A4E00"/>
      </patternFill>
    </fill>
    <fill>
      <patternFill patternType="solid">
        <fgColor rgb="FFFFF0C7"/>
      </patternFill>
    </fill>
    <fill>
      <patternFill patternType="solid">
        <fgColor rgb="FF1F7A68"/>
      </patternFill>
    </fill>
    <fill>
      <patternFill patternType="solid">
        <fgColor rgb="FFDDF4EE"/>
      </patternFill>
    </fill>
    <fill>
      <patternFill patternType="solid">
        <fgColor rgb="FF006B8F"/>
      </patternFill>
    </fill>
    <fill>
      <patternFill patternType="solid">
        <fgColor rgb="FFD9F1FA"/>
      </patternFill>
    </fill>
    <fill>
      <patternFill patternType="solid">
        <fgColor rgb="FF9A3B00"/>
      </patternFill>
    </fill>
    <fill>
      <patternFill patternType="solid">
        <fgColor rgb="FFFFE5D1"/>
      </patternFill>
    </fill>
    <fill>
      <patternFill patternType="solid">
        <fgColor rgb="FFDCEBF7"/>
      </patternFill>
    </fill>
    <fill>
      <patternFill patternType="solid">
        <fgColor rgb="FF6D4C1D"/>
      </patternFill>
    </fill>
    <fill>
      <patternFill patternType="solid">
        <fgColor rgb="FFF1E5D2"/>
      </patternFill>
    </fill>
    <fill>
      <patternFill patternType="solid">
        <fgColor rgb="FF8A3D12"/>
      </patternFill>
    </fill>
    <fill>
      <patternFill patternType="solid">
        <fgColor rgb="FFFBE0CF"/>
      </patternFill>
    </fill>
    <fill>
      <patternFill patternType="solid">
        <fgColor rgb="FF4C5264"/>
      </patternFill>
    </fill>
    <fill>
      <patternFill patternType="solid">
        <fgColor rgb="FFE6E9EF"/>
      </patternFill>
    </fill>
    <fill>
      <patternFill patternType="solid">
        <fgColor rgb="FF8B1E2D"/>
      </patternFill>
    </fill>
    <fill>
      <patternFill patternType="solid">
        <fgColor rgb="FFF7DCE0"/>
      </patternFill>
    </fill>
  </fills>
  <borders count="10">
    <border>
      <left/>
      <right/>
      <top/>
      <bottom/>
      <diagonal/>
    </border>
    <border>
      <left style="thin">
        <color rgb="FF7F8DA1"/>
      </left>
      <right style="thin">
        <color rgb="FF7F8DA1"/>
      </right>
      <top style="thin">
        <color rgb="FF7F8DA1"/>
      </top>
      <bottom style="thin">
        <color rgb="FF7F8DA1"/>
      </bottom>
      <diagonal/>
    </border>
    <border>
      <left style="thin">
        <color rgb="FF7F8DA1"/>
      </left>
      <right/>
      <top style="thin">
        <color rgb="FF7F8DA1"/>
      </top>
      <bottom/>
      <diagonal/>
    </border>
    <border>
      <left/>
      <right/>
      <top style="thin">
        <color rgb="FF7F8DA1"/>
      </top>
      <bottom/>
      <diagonal/>
    </border>
    <border>
      <left/>
      <right style="thin">
        <color rgb="FF7F8DA1"/>
      </right>
      <top style="thin">
        <color rgb="FF7F8DA1"/>
      </top>
      <bottom/>
      <diagonal/>
    </border>
    <border>
      <left style="thin">
        <color rgb="FF7F8DA1"/>
      </left>
      <right/>
      <top/>
      <bottom/>
      <diagonal/>
    </border>
    <border>
      <left/>
      <right style="thin">
        <color rgb="FF7F8DA1"/>
      </right>
      <top/>
      <bottom/>
      <diagonal/>
    </border>
    <border>
      <left style="thin">
        <color rgb="FF7F8DA1"/>
      </left>
      <right/>
      <top/>
      <bottom style="thin">
        <color rgb="FF7F8DA1"/>
      </bottom>
      <diagonal/>
    </border>
    <border>
      <left/>
      <right/>
      <top/>
      <bottom style="thin">
        <color rgb="FF7F8DA1"/>
      </bottom>
      <diagonal/>
    </border>
    <border>
      <left/>
      <right style="thin">
        <color rgb="FF7F8DA1"/>
      </right>
      <top/>
      <bottom style="thin">
        <color rgb="FF7F8DA1"/>
      </bottom>
      <diagonal/>
    </border>
  </borders>
  <cellStyleXfs count="1">
    <xf numFmtId="0" fontId="0" fillId="0" borderId="0"/>
  </cellStyleXfs>
  <cellXfs count="130">
    <xf numFmtId="0" fontId="0" fillId="0" borderId="0" xfId="0" applyProtection="1">
      <protection locked="0"/>
    </xf>
    <xf numFmtId="0" fontId="2" fillId="2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2" borderId="1" xfId="0" applyFill="1" applyBorder="1" applyProtection="1"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3" fillId="14" borderId="1" xfId="0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16" borderId="1" xfId="0" applyNumberFormat="1" applyFont="1" applyFill="1" applyBorder="1" applyAlignment="1" applyProtection="1">
      <alignment horizontal="center"/>
      <protection locked="0"/>
    </xf>
    <xf numFmtId="0" fontId="3" fillId="18" borderId="1" xfId="0" applyFont="1" applyFill="1" applyBorder="1" applyAlignment="1" applyProtection="1">
      <alignment horizontal="center"/>
      <protection locked="0"/>
    </xf>
    <xf numFmtId="0" fontId="7" fillId="19" borderId="1" xfId="0" applyFont="1" applyFill="1" applyBorder="1" applyAlignment="1" applyProtection="1">
      <alignment horizontal="center"/>
      <protection locked="0"/>
    </xf>
    <xf numFmtId="0" fontId="3" fillId="20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18" borderId="0" xfId="0" applyFont="1" applyFill="1" applyAlignment="1" applyProtection="1">
      <alignment horizontal="center" wrapText="1"/>
      <protection locked="0"/>
    </xf>
    <xf numFmtId="2" fontId="2" fillId="17" borderId="1" xfId="0" applyNumberFormat="1" applyFont="1" applyFill="1" applyBorder="1" applyAlignment="1" applyProtection="1">
      <alignment horizontal="center"/>
      <protection locked="0"/>
    </xf>
    <xf numFmtId="0" fontId="3" fillId="23" borderId="1" xfId="0" applyFont="1" applyFill="1" applyBorder="1" applyAlignment="1" applyProtection="1">
      <alignment horizontal="center"/>
      <protection locked="0"/>
    </xf>
    <xf numFmtId="0" fontId="3" fillId="23" borderId="0" xfId="0" applyFont="1" applyFill="1" applyAlignment="1" applyProtection="1">
      <alignment horizontal="center" wrapText="1"/>
      <protection locked="0"/>
    </xf>
    <xf numFmtId="2" fontId="2" fillId="22" borderId="1" xfId="0" applyNumberFormat="1" applyFont="1" applyFill="1" applyBorder="1" applyAlignment="1" applyProtection="1">
      <alignment horizontal="center"/>
      <protection locked="0"/>
    </xf>
    <xf numFmtId="0" fontId="3" fillId="25" borderId="1" xfId="0" applyFont="1" applyFill="1" applyBorder="1" applyAlignment="1" applyProtection="1">
      <alignment horizontal="center"/>
      <protection locked="0"/>
    </xf>
    <xf numFmtId="0" fontId="3" fillId="25" borderId="0" xfId="0" applyFont="1" applyFill="1" applyAlignment="1" applyProtection="1">
      <alignment horizontal="center" wrapText="1"/>
      <protection locked="0"/>
    </xf>
    <xf numFmtId="2" fontId="2" fillId="24" borderId="1" xfId="0" applyNumberFormat="1" applyFont="1" applyFill="1" applyBorder="1" applyAlignment="1" applyProtection="1">
      <alignment horizontal="center"/>
      <protection locked="0"/>
    </xf>
    <xf numFmtId="0" fontId="3" fillId="27" borderId="1" xfId="0" applyFont="1" applyFill="1" applyBorder="1" applyAlignment="1" applyProtection="1">
      <alignment horizontal="center"/>
      <protection locked="0"/>
    </xf>
    <xf numFmtId="0" fontId="3" fillId="27" borderId="0" xfId="0" applyFont="1" applyFill="1" applyAlignment="1" applyProtection="1">
      <alignment horizontal="center" wrapText="1"/>
      <protection locked="0"/>
    </xf>
    <xf numFmtId="2" fontId="2" fillId="26" borderId="1" xfId="0" applyNumberFormat="1" applyFont="1" applyFill="1" applyBorder="1" applyAlignment="1" applyProtection="1">
      <alignment horizontal="center"/>
      <protection locked="0"/>
    </xf>
    <xf numFmtId="0" fontId="3" fillId="29" borderId="1" xfId="0" applyFont="1" applyFill="1" applyBorder="1" applyAlignment="1" applyProtection="1">
      <alignment horizontal="center"/>
      <protection locked="0"/>
    </xf>
    <xf numFmtId="0" fontId="3" fillId="29" borderId="0" xfId="0" applyFont="1" applyFill="1" applyAlignment="1" applyProtection="1">
      <alignment horizontal="center" wrapText="1"/>
      <protection locked="0"/>
    </xf>
    <xf numFmtId="2" fontId="2" fillId="28" borderId="1" xfId="0" applyNumberFormat="1" applyFont="1" applyFill="1" applyBorder="1" applyAlignment="1" applyProtection="1">
      <alignment horizontal="center"/>
      <protection locked="0"/>
    </xf>
    <xf numFmtId="0" fontId="3" fillId="31" borderId="1" xfId="0" applyFont="1" applyFill="1" applyBorder="1" applyAlignment="1" applyProtection="1">
      <alignment horizontal="center"/>
      <protection locked="0"/>
    </xf>
    <xf numFmtId="0" fontId="3" fillId="31" borderId="0" xfId="0" applyFont="1" applyFill="1" applyAlignment="1" applyProtection="1">
      <alignment horizontal="center" wrapText="1"/>
      <protection locked="0"/>
    </xf>
    <xf numFmtId="2" fontId="2" fillId="30" borderId="1" xfId="0" applyNumberFormat="1" applyFont="1" applyFill="1" applyBorder="1" applyAlignment="1" applyProtection="1">
      <alignment horizontal="center"/>
      <protection locked="0"/>
    </xf>
    <xf numFmtId="0" fontId="3" fillId="33" borderId="1" xfId="0" applyFont="1" applyFill="1" applyBorder="1" applyAlignment="1" applyProtection="1">
      <alignment horizontal="center"/>
      <protection locked="0"/>
    </xf>
    <xf numFmtId="0" fontId="3" fillId="33" borderId="0" xfId="0" applyFont="1" applyFill="1" applyAlignment="1" applyProtection="1">
      <alignment horizontal="center" wrapText="1"/>
      <protection locked="0"/>
    </xf>
    <xf numFmtId="2" fontId="2" fillId="32" borderId="1" xfId="0" applyNumberFormat="1" applyFont="1" applyFill="1" applyBorder="1" applyAlignment="1" applyProtection="1">
      <alignment horizontal="center"/>
      <protection locked="0"/>
    </xf>
    <xf numFmtId="0" fontId="3" fillId="34" borderId="1" xfId="0" applyFont="1" applyFill="1" applyBorder="1" applyAlignment="1" applyProtection="1">
      <alignment horizontal="center"/>
      <protection locked="0"/>
    </xf>
    <xf numFmtId="0" fontId="3" fillId="34" borderId="0" xfId="0" applyFont="1" applyFill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3" fillId="36" borderId="1" xfId="0" applyFont="1" applyFill="1" applyBorder="1" applyAlignment="1" applyProtection="1">
      <alignment horizontal="center"/>
      <protection locked="0"/>
    </xf>
    <xf numFmtId="0" fontId="3" fillId="36" borderId="0" xfId="0" applyFont="1" applyFill="1" applyAlignment="1" applyProtection="1">
      <alignment horizontal="center" wrapText="1"/>
      <protection locked="0"/>
    </xf>
    <xf numFmtId="2" fontId="2" fillId="35" borderId="1" xfId="0" applyNumberFormat="1" applyFont="1" applyFill="1" applyBorder="1" applyAlignment="1" applyProtection="1">
      <alignment horizontal="center"/>
      <protection locked="0"/>
    </xf>
    <xf numFmtId="0" fontId="3" fillId="38" borderId="1" xfId="0" applyFont="1" applyFill="1" applyBorder="1" applyAlignment="1" applyProtection="1">
      <alignment horizontal="center"/>
      <protection locked="0"/>
    </xf>
    <xf numFmtId="0" fontId="3" fillId="38" borderId="0" xfId="0" applyFont="1" applyFill="1" applyAlignment="1" applyProtection="1">
      <alignment horizontal="center" wrapText="1"/>
      <protection locked="0"/>
    </xf>
    <xf numFmtId="2" fontId="2" fillId="37" borderId="1" xfId="0" applyNumberFormat="1" applyFont="1" applyFill="1" applyBorder="1" applyAlignment="1" applyProtection="1">
      <alignment horizontal="center"/>
      <protection locked="0"/>
    </xf>
    <xf numFmtId="0" fontId="3" fillId="40" borderId="1" xfId="0" applyFont="1" applyFill="1" applyBorder="1" applyAlignment="1" applyProtection="1">
      <alignment horizontal="center"/>
      <protection locked="0"/>
    </xf>
    <xf numFmtId="0" fontId="3" fillId="40" borderId="0" xfId="0" applyFont="1" applyFill="1" applyAlignment="1" applyProtection="1">
      <alignment horizontal="center" wrapText="1"/>
      <protection locked="0"/>
    </xf>
    <xf numFmtId="2" fontId="2" fillId="39" borderId="1" xfId="0" applyNumberFormat="1" applyFont="1" applyFill="1" applyBorder="1" applyAlignment="1" applyProtection="1">
      <alignment horizontal="center"/>
      <protection locked="0"/>
    </xf>
    <xf numFmtId="0" fontId="3" fillId="42" borderId="1" xfId="0" applyFont="1" applyFill="1" applyBorder="1" applyAlignment="1" applyProtection="1">
      <alignment horizontal="center"/>
      <protection locked="0"/>
    </xf>
    <xf numFmtId="0" fontId="3" fillId="42" borderId="0" xfId="0" applyFont="1" applyFill="1" applyAlignment="1" applyProtection="1">
      <alignment horizontal="center" wrapText="1"/>
      <protection locked="0"/>
    </xf>
    <xf numFmtId="2" fontId="2" fillId="41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13" borderId="0" xfId="0" applyFont="1" applyFill="1" applyAlignment="1" applyProtection="1">
      <alignment horizontal="center"/>
      <protection locked="0"/>
    </xf>
    <xf numFmtId="0" fontId="4" fillId="14" borderId="0" xfId="0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15" borderId="0" xfId="0" applyFont="1" applyFill="1" applyAlignment="1" applyProtection="1">
      <alignment horizontal="center"/>
      <protection locked="0"/>
    </xf>
    <xf numFmtId="0" fontId="6" fillId="17" borderId="0" xfId="0" applyFont="1" applyFill="1" applyAlignment="1" applyProtection="1">
      <alignment horizontal="center" vertical="center"/>
      <protection locked="0"/>
    </xf>
    <xf numFmtId="0" fontId="3" fillId="18" borderId="0" xfId="0" applyFont="1" applyFill="1" applyAlignment="1" applyProtection="1">
      <alignment horizontal="center"/>
      <protection locked="0"/>
    </xf>
    <xf numFmtId="0" fontId="2" fillId="17" borderId="1" xfId="0" applyFont="1" applyFill="1" applyBorder="1" applyAlignment="1" applyProtection="1">
      <alignment horizontal="center" vertical="center"/>
      <protection locked="0"/>
    </xf>
    <xf numFmtId="0" fontId="2" fillId="17" borderId="0" xfId="0" applyFont="1" applyFill="1" applyAlignment="1" applyProtection="1">
      <alignment horizontal="center"/>
      <protection locked="0"/>
    </xf>
    <xf numFmtId="0" fontId="9" fillId="21" borderId="2" xfId="0" applyFont="1" applyFill="1" applyBorder="1" applyAlignment="1" applyProtection="1">
      <alignment vertical="top" wrapText="1"/>
      <protection locked="0"/>
    </xf>
    <xf numFmtId="0" fontId="9" fillId="21" borderId="3" xfId="0" applyFont="1" applyFill="1" applyBorder="1" applyAlignment="1" applyProtection="1">
      <alignment vertical="top" wrapText="1"/>
      <protection locked="0"/>
    </xf>
    <xf numFmtId="0" fontId="9" fillId="21" borderId="4" xfId="0" applyFont="1" applyFill="1" applyBorder="1" applyAlignment="1" applyProtection="1">
      <alignment vertical="top" wrapText="1"/>
      <protection locked="0"/>
    </xf>
    <xf numFmtId="0" fontId="9" fillId="21" borderId="5" xfId="0" applyFont="1" applyFill="1" applyBorder="1" applyAlignment="1" applyProtection="1">
      <alignment vertical="top" wrapText="1"/>
      <protection locked="0"/>
    </xf>
    <xf numFmtId="0" fontId="9" fillId="21" borderId="0" xfId="0" applyFont="1" applyFill="1" applyAlignment="1" applyProtection="1">
      <alignment vertical="top" wrapText="1"/>
      <protection locked="0"/>
    </xf>
    <xf numFmtId="0" fontId="9" fillId="21" borderId="6" xfId="0" applyFont="1" applyFill="1" applyBorder="1" applyAlignment="1" applyProtection="1">
      <alignment vertical="top" wrapText="1"/>
      <protection locked="0"/>
    </xf>
    <xf numFmtId="0" fontId="9" fillId="21" borderId="7" xfId="0" applyFont="1" applyFill="1" applyBorder="1" applyAlignment="1" applyProtection="1">
      <alignment vertical="top" wrapText="1"/>
      <protection locked="0"/>
    </xf>
    <xf numFmtId="0" fontId="9" fillId="21" borderId="8" xfId="0" applyFont="1" applyFill="1" applyBorder="1" applyAlignment="1" applyProtection="1">
      <alignment vertical="top" wrapText="1"/>
      <protection locked="0"/>
    </xf>
    <xf numFmtId="0" fontId="9" fillId="21" borderId="9" xfId="0" applyFont="1" applyFill="1" applyBorder="1" applyAlignment="1" applyProtection="1">
      <alignment vertical="top" wrapText="1"/>
      <protection locked="0"/>
    </xf>
    <xf numFmtId="0" fontId="0" fillId="17" borderId="0" xfId="0" applyFill="1" applyProtection="1">
      <protection locked="0"/>
    </xf>
    <xf numFmtId="0" fontId="6" fillId="22" borderId="0" xfId="0" applyFont="1" applyFill="1" applyAlignment="1" applyProtection="1">
      <alignment horizontal="center" vertical="center"/>
      <protection locked="0"/>
    </xf>
    <xf numFmtId="0" fontId="3" fillId="23" borderId="0" xfId="0" applyFont="1" applyFill="1" applyAlignment="1" applyProtection="1">
      <alignment horizontal="center"/>
      <protection locked="0"/>
    </xf>
    <xf numFmtId="0" fontId="2" fillId="22" borderId="1" xfId="0" applyFont="1" applyFill="1" applyBorder="1" applyAlignment="1" applyProtection="1">
      <alignment horizontal="center" vertical="center"/>
      <protection locked="0"/>
    </xf>
    <xf numFmtId="0" fontId="2" fillId="22" borderId="0" xfId="0" applyFont="1" applyFill="1" applyAlignment="1" applyProtection="1">
      <alignment horizontal="center"/>
      <protection locked="0"/>
    </xf>
    <xf numFmtId="0" fontId="0" fillId="22" borderId="0" xfId="0" applyFill="1" applyProtection="1"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/>
      <protection locked="0"/>
    </xf>
    <xf numFmtId="0" fontId="2" fillId="24" borderId="1" xfId="0" applyFont="1" applyFill="1" applyBorder="1" applyAlignment="1" applyProtection="1">
      <alignment horizontal="center" vertical="center"/>
      <protection locked="0"/>
    </xf>
    <xf numFmtId="0" fontId="2" fillId="24" borderId="0" xfId="0" applyFont="1" applyFill="1" applyAlignment="1" applyProtection="1">
      <alignment horizontal="center"/>
      <protection locked="0"/>
    </xf>
    <xf numFmtId="0" fontId="0" fillId="24" borderId="0" xfId="0" applyFill="1" applyProtection="1">
      <protection locked="0"/>
    </xf>
    <xf numFmtId="0" fontId="6" fillId="26" borderId="0" xfId="0" applyFont="1" applyFill="1" applyAlignment="1" applyProtection="1">
      <alignment horizontal="center" vertical="center"/>
      <protection locked="0"/>
    </xf>
    <xf numFmtId="0" fontId="3" fillId="27" borderId="0" xfId="0" applyFont="1" applyFill="1" applyAlignment="1" applyProtection="1">
      <alignment horizontal="center"/>
      <protection locked="0"/>
    </xf>
    <xf numFmtId="0" fontId="2" fillId="26" borderId="1" xfId="0" applyFont="1" applyFill="1" applyBorder="1" applyAlignment="1" applyProtection="1">
      <alignment horizontal="center" vertical="center"/>
      <protection locked="0"/>
    </xf>
    <xf numFmtId="0" fontId="2" fillId="26" borderId="0" xfId="0" applyFont="1" applyFill="1" applyAlignment="1" applyProtection="1">
      <alignment horizontal="center"/>
      <protection locked="0"/>
    </xf>
    <xf numFmtId="0" fontId="0" fillId="26" borderId="0" xfId="0" applyFill="1" applyProtection="1">
      <protection locked="0"/>
    </xf>
    <xf numFmtId="0" fontId="6" fillId="28" borderId="0" xfId="0" applyFont="1" applyFill="1" applyAlignment="1" applyProtection="1">
      <alignment horizontal="center" vertical="center"/>
      <protection locked="0"/>
    </xf>
    <xf numFmtId="0" fontId="3" fillId="29" borderId="0" xfId="0" applyFont="1" applyFill="1" applyAlignment="1" applyProtection="1">
      <alignment horizontal="center"/>
      <protection locked="0"/>
    </xf>
    <xf numFmtId="0" fontId="2" fillId="28" borderId="1" xfId="0" applyFont="1" applyFill="1" applyBorder="1" applyAlignment="1" applyProtection="1">
      <alignment horizontal="center" vertical="center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0" fillId="28" borderId="0" xfId="0" applyFill="1" applyProtection="1">
      <protection locked="0"/>
    </xf>
    <xf numFmtId="0" fontId="6" fillId="30" borderId="0" xfId="0" applyFont="1" applyFill="1" applyAlignment="1" applyProtection="1">
      <alignment horizontal="center" vertical="center"/>
      <protection locked="0"/>
    </xf>
    <xf numFmtId="0" fontId="3" fillId="31" borderId="0" xfId="0" applyFont="1" applyFill="1" applyAlignment="1" applyProtection="1">
      <alignment horizontal="center"/>
      <protection locked="0"/>
    </xf>
    <xf numFmtId="0" fontId="2" fillId="30" borderId="1" xfId="0" applyFont="1" applyFill="1" applyBorder="1" applyAlignment="1" applyProtection="1">
      <alignment horizontal="center" vertical="center"/>
      <protection locked="0"/>
    </xf>
    <xf numFmtId="0" fontId="2" fillId="30" borderId="0" xfId="0" applyFont="1" applyFill="1" applyAlignment="1" applyProtection="1">
      <alignment horizontal="center"/>
      <protection locked="0"/>
    </xf>
    <xf numFmtId="0" fontId="0" fillId="30" borderId="0" xfId="0" applyFill="1" applyProtection="1">
      <protection locked="0"/>
    </xf>
    <xf numFmtId="0" fontId="6" fillId="32" borderId="0" xfId="0" applyFont="1" applyFill="1" applyAlignment="1" applyProtection="1">
      <alignment horizontal="center" vertical="center"/>
      <protection locked="0"/>
    </xf>
    <xf numFmtId="0" fontId="3" fillId="33" borderId="0" xfId="0" applyFont="1" applyFill="1" applyAlignment="1" applyProtection="1">
      <alignment horizontal="center"/>
      <protection locked="0"/>
    </xf>
    <xf numFmtId="0" fontId="2" fillId="32" borderId="1" xfId="0" applyFont="1" applyFill="1" applyBorder="1" applyAlignment="1" applyProtection="1">
      <alignment horizontal="center" vertical="center"/>
      <protection locked="0"/>
    </xf>
    <xf numFmtId="0" fontId="2" fillId="32" borderId="0" xfId="0" applyFont="1" applyFill="1" applyAlignment="1" applyProtection="1">
      <alignment horizontal="center"/>
      <protection locked="0"/>
    </xf>
    <xf numFmtId="0" fontId="0" fillId="32" borderId="0" xfId="0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34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6" fillId="35" borderId="0" xfId="0" applyFont="1" applyFill="1" applyAlignment="1" applyProtection="1">
      <alignment horizontal="center" vertical="center"/>
      <protection locked="0"/>
    </xf>
    <xf numFmtId="0" fontId="3" fillId="36" borderId="0" xfId="0" applyFont="1" applyFill="1" applyAlignment="1" applyProtection="1">
      <alignment horizontal="center"/>
      <protection locked="0"/>
    </xf>
    <xf numFmtId="0" fontId="2" fillId="35" borderId="1" xfId="0" applyFont="1" applyFill="1" applyBorder="1" applyAlignment="1" applyProtection="1">
      <alignment horizontal="center" vertical="center"/>
      <protection locked="0"/>
    </xf>
    <xf numFmtId="0" fontId="2" fillId="35" borderId="0" xfId="0" applyFont="1" applyFill="1" applyAlignment="1" applyProtection="1">
      <alignment horizontal="center"/>
      <protection locked="0"/>
    </xf>
    <xf numFmtId="0" fontId="0" fillId="35" borderId="0" xfId="0" applyFill="1" applyProtection="1">
      <protection locked="0"/>
    </xf>
    <xf numFmtId="0" fontId="6" fillId="37" borderId="0" xfId="0" applyFont="1" applyFill="1" applyAlignment="1" applyProtection="1">
      <alignment horizontal="center" vertical="center"/>
      <protection locked="0"/>
    </xf>
    <xf numFmtId="0" fontId="3" fillId="38" borderId="0" xfId="0" applyFont="1" applyFill="1" applyAlignment="1" applyProtection="1">
      <alignment horizontal="center"/>
      <protection locked="0"/>
    </xf>
    <xf numFmtId="0" fontId="2" fillId="37" borderId="1" xfId="0" applyFont="1" applyFill="1" applyBorder="1" applyAlignment="1" applyProtection="1">
      <alignment horizontal="center" vertical="center"/>
      <protection locked="0"/>
    </xf>
    <xf numFmtId="0" fontId="2" fillId="37" borderId="0" xfId="0" applyFont="1" applyFill="1" applyAlignment="1" applyProtection="1">
      <alignment horizontal="center"/>
      <protection locked="0"/>
    </xf>
    <xf numFmtId="0" fontId="0" fillId="37" borderId="0" xfId="0" applyFill="1" applyProtection="1">
      <protection locked="0"/>
    </xf>
    <xf numFmtId="0" fontId="6" fillId="39" borderId="0" xfId="0" applyFont="1" applyFill="1" applyAlignment="1" applyProtection="1">
      <alignment horizontal="center" vertical="center"/>
      <protection locked="0"/>
    </xf>
    <xf numFmtId="0" fontId="3" fillId="40" borderId="0" xfId="0" applyFont="1" applyFill="1" applyAlignment="1" applyProtection="1">
      <alignment horizontal="center"/>
      <protection locked="0"/>
    </xf>
    <xf numFmtId="0" fontId="2" fillId="39" borderId="1" xfId="0" applyFont="1" applyFill="1" applyBorder="1" applyAlignment="1" applyProtection="1">
      <alignment horizontal="center" vertical="center"/>
      <protection locked="0"/>
    </xf>
    <xf numFmtId="0" fontId="2" fillId="39" borderId="0" xfId="0" applyFont="1" applyFill="1" applyAlignment="1" applyProtection="1">
      <alignment horizontal="center"/>
      <protection locked="0"/>
    </xf>
    <xf numFmtId="0" fontId="0" fillId="39" borderId="0" xfId="0" applyFill="1" applyProtection="1">
      <protection locked="0"/>
    </xf>
    <xf numFmtId="0" fontId="6" fillId="41" borderId="0" xfId="0" applyFont="1" applyFill="1" applyAlignment="1" applyProtection="1">
      <alignment horizontal="center" vertical="center"/>
      <protection locked="0"/>
    </xf>
    <xf numFmtId="0" fontId="3" fillId="42" borderId="0" xfId="0" applyFont="1" applyFill="1" applyAlignment="1" applyProtection="1">
      <alignment horizontal="center"/>
      <protection locked="0"/>
    </xf>
    <xf numFmtId="0" fontId="2" fillId="41" borderId="1" xfId="0" applyFont="1" applyFill="1" applyBorder="1" applyAlignment="1" applyProtection="1">
      <alignment horizontal="center" vertical="center"/>
      <protection locked="0"/>
    </xf>
    <xf numFmtId="0" fontId="2" fillId="41" borderId="0" xfId="0" applyFont="1" applyFill="1" applyAlignment="1" applyProtection="1">
      <alignment horizontal="center"/>
      <protection locked="0"/>
    </xf>
    <xf numFmtId="0" fontId="0" fillId="41" borderId="0" xfId="0" applyFill="1" applyProtection="1">
      <protection locked="0"/>
    </xf>
  </cellXfs>
  <cellStyles count="1">
    <cellStyle name="Normal" xfId="0" builtinId="0"/>
  </cellStyles>
  <dxfs count="612"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071C35"/>
      </font>
      <fill>
        <patternFill patternType="solid">
          <bgColor rgb="FFB8BCC4"/>
        </patternFill>
      </fill>
    </dxf>
    <dxf>
      <font>
        <b/>
        <color rgb="FF071C35"/>
      </font>
      <fill>
        <patternFill patternType="solid">
          <bgColor rgb="FFF2A25C"/>
        </patternFill>
      </fill>
    </dxf>
    <dxf>
      <font>
        <b/>
        <color rgb="FF071C35"/>
      </font>
      <fill>
        <patternFill patternType="solid">
          <bgColor rgb="FFDCEAC8"/>
        </patternFill>
      </fill>
    </dxf>
    <dxf>
      <font>
        <b/>
        <color rgb="FFFFFFFF"/>
      </font>
      <fill>
        <patternFill patternType="solid">
          <bgColor rgb="FFF02020"/>
        </patternFill>
      </fill>
    </dxf>
    <dxf>
      <font>
        <b/>
        <color rgb="FFFFFFFF"/>
      </font>
      <fill>
        <patternFill patternType="solid">
          <bgColor rgb="FF00A8C8"/>
        </patternFill>
      </fill>
    </dxf>
    <dxf>
      <font>
        <b/>
        <color rgb="FFFFFFFF"/>
      </font>
      <fill>
        <patternFill patternType="solid">
          <bgColor rgb="FF1238E8"/>
        </patternFill>
      </fill>
    </dxf>
    <dxf>
      <font>
        <b/>
        <color rgb="FF071C35"/>
      </font>
      <fill>
        <patternFill patternType="solid">
          <bgColor rgb="FF18D449"/>
        </patternFill>
      </fill>
    </dxf>
    <dxf>
      <font>
        <b/>
        <color rgb="FF173B67"/>
      </font>
      <fill>
        <patternFill patternType="solid">
          <bgColor rgb="FFFFD44D"/>
        </patternFill>
      </fill>
    </dxf>
    <dxf>
      <font>
        <b/>
        <color rgb="FFB00020"/>
      </font>
      <fill>
        <patternFill patternType="solid">
          <bgColor rgb="FFFFD44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e99af72b-930e-42b4-a192-3da26f5084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8572500" cy="400050"/>
    <xdr:pic>
      <xdr:nvPicPr>
        <xdr:cNvPr id="3" name="bf3e24a0-106b-4782-b07a-b38f8210e3f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da31a7c1-3e99-43fb-9d5a-1e943fe8d6c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2a3b962a-46a8-4b69-998b-61a0984af2a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f42022a6-c330-4f24-bf1e-83e9c216fea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d4ef11cc-d6aa-4a6b-969a-b19e09f2359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f6807002-5142-4ea0-a6af-773f4005365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f6ef717f-6d16-49a7-97d0-cf6560fdbb2c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f6a2445d-709b-4385-a795-654cf29448d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4a3bc011-5854-4ea2-bbdd-cd1ef5ff059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6991aa07-0ffb-42bf-a298-de3c8ca6d5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1e41d769-c9e4-4e75-97b1-6f49acf737b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74d2284f-2dd9-43a8-896d-9a68fe6c8b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3811250" cy="400050"/>
    <xdr:pic>
      <xdr:nvPicPr>
        <xdr:cNvPr id="3" name="42231146-1c7b-4c76-94c7-38b49795ca4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3e3657cd-4703-4db1-b0fb-6d5637040b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2dca3d48-5341-4eb8-a4f6-053dacf1065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c15f3f17-9cae-4600-8a9e-21adfc81a65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b2cd85bf-aa6e-4582-9078-9d4b18bd89e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fa4f5a93-0016-4a40-9e6b-07f40777b61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6ef0ea18-3ea7-408f-b581-e9ef9bef09a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9fc15e0e-5321-4736-834c-16b996752dd9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bf01a6cd-e2de-40f1-a910-1166aded456f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1c07870b-729f-42f6-9826-5de208e8b5a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b44663f1-5616-4be7-bee5-3202d5f6674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60001e65-5438-40be-9125-dfab10085ca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8f7fd314-db24-4ee9-90b5-e825e818809f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28750" cy="1428750"/>
    <xdr:pic>
      <xdr:nvPicPr>
        <xdr:cNvPr id="2" name="307494e4-3302-4f70-b60f-3556b1a0b87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20002500" cy="400050"/>
    <xdr:pic>
      <xdr:nvPicPr>
        <xdr:cNvPr id="3" name="bdc094f5-0af3-4f95-85d4-d69156e93cb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opLeftCell="A3" workbookViewId="0">
      <selection activeCell="I18" sqref="I18"/>
    </sheetView>
  </sheetViews>
  <sheetFormatPr baseColWidth="10" defaultColWidth="9" defaultRowHeight="14.25"/>
  <cols>
    <col min="1" max="1" width="22" customWidth="1"/>
    <col min="2" max="2" width="31" customWidth="1"/>
    <col min="3" max="5" width="20" customWidth="1"/>
  </cols>
  <sheetData>
    <row r="1" spans="1:8" ht="54.95" customHeight="1">
      <c r="B1" s="56" t="s">
        <v>0</v>
      </c>
      <c r="C1" s="56"/>
      <c r="D1" s="56"/>
      <c r="E1" s="56"/>
      <c r="F1" s="56"/>
      <c r="G1" s="56"/>
      <c r="H1" s="56"/>
    </row>
    <row r="2" spans="1:8" ht="54.95" customHeight="1">
      <c r="B2" s="56"/>
      <c r="C2" s="56"/>
      <c r="D2" s="56"/>
      <c r="E2" s="56"/>
      <c r="F2" s="56"/>
      <c r="G2" s="56"/>
      <c r="H2" s="56"/>
    </row>
    <row r="3" spans="1:8" ht="35.1" customHeight="1"/>
    <row r="4" spans="1:8" ht="15">
      <c r="A4" s="1" t="s">
        <v>1</v>
      </c>
      <c r="B4" s="2">
        <v>2026</v>
      </c>
    </row>
    <row r="5" spans="1:8" ht="15">
      <c r="A5" s="1" t="s">
        <v>2</v>
      </c>
      <c r="B5" s="2" t="s">
        <v>3</v>
      </c>
    </row>
    <row r="6" spans="1:8" ht="15">
      <c r="A6" s="1" t="s">
        <v>4</v>
      </c>
      <c r="B6" s="2"/>
    </row>
    <row r="7" spans="1:8" ht="15">
      <c r="A7" s="1" t="s">
        <v>5</v>
      </c>
      <c r="B7" s="2" t="s">
        <v>6</v>
      </c>
    </row>
    <row r="8" spans="1:8" ht="15">
      <c r="A8" s="1" t="s">
        <v>7</v>
      </c>
      <c r="B8" s="2" t="s">
        <v>6</v>
      </c>
    </row>
    <row r="9" spans="1:8" ht="15">
      <c r="A9" s="1" t="s">
        <v>8</v>
      </c>
      <c r="B9" s="2" t="s">
        <v>6</v>
      </c>
    </row>
    <row r="10" spans="1:8" ht="15">
      <c r="A10" s="1" t="s">
        <v>9</v>
      </c>
      <c r="B10" s="2" t="s">
        <v>6</v>
      </c>
    </row>
    <row r="11" spans="1:8" ht="15">
      <c r="A11" s="1" t="s">
        <v>10</v>
      </c>
      <c r="B11" s="2" t="s">
        <v>6</v>
      </c>
    </row>
    <row r="12" spans="1:8" ht="15">
      <c r="A12" s="1" t="s">
        <v>11</v>
      </c>
      <c r="B12" s="2" t="s">
        <v>6</v>
      </c>
    </row>
    <row r="14" spans="1:8" ht="1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</row>
    <row r="15" spans="1:8">
      <c r="A15" s="4" t="s">
        <v>17</v>
      </c>
      <c r="B15" s="4" t="s">
        <v>18</v>
      </c>
      <c r="C15" s="5" t="s">
        <v>19</v>
      </c>
      <c r="D15" s="4">
        <v>6.5</v>
      </c>
      <c r="E15" s="4" t="s">
        <v>20</v>
      </c>
    </row>
    <row r="16" spans="1:8">
      <c r="A16" s="4" t="s">
        <v>21</v>
      </c>
      <c r="B16" s="4" t="s">
        <v>22</v>
      </c>
      <c r="C16" s="6" t="s">
        <v>23</v>
      </c>
      <c r="D16" s="4">
        <v>6.75</v>
      </c>
      <c r="E16" s="4" t="s">
        <v>24</v>
      </c>
    </row>
    <row r="17" spans="1:5">
      <c r="A17" s="4" t="s">
        <v>73</v>
      </c>
      <c r="B17" s="4" t="s">
        <v>74</v>
      </c>
      <c r="C17" s="7" t="s">
        <v>25</v>
      </c>
      <c r="D17" s="4">
        <v>5.5</v>
      </c>
      <c r="E17" s="4" t="s">
        <v>72</v>
      </c>
    </row>
    <row r="18" spans="1:5">
      <c r="A18" s="4" t="s">
        <v>26</v>
      </c>
      <c r="B18" s="4" t="s">
        <v>27</v>
      </c>
      <c r="C18" s="8" t="s">
        <v>28</v>
      </c>
      <c r="D18" s="4">
        <v>8</v>
      </c>
      <c r="E18" s="4" t="s">
        <v>29</v>
      </c>
    </row>
    <row r="19" spans="1:5">
      <c r="A19" s="4" t="s">
        <v>30</v>
      </c>
      <c r="B19" s="4"/>
      <c r="C19" s="9" t="s">
        <v>31</v>
      </c>
      <c r="D19" s="4">
        <v>0</v>
      </c>
      <c r="E19" s="4" t="s">
        <v>32</v>
      </c>
    </row>
    <row r="20" spans="1:5">
      <c r="A20" s="4" t="s">
        <v>33</v>
      </c>
      <c r="B20" s="4"/>
      <c r="C20" s="10" t="s">
        <v>34</v>
      </c>
      <c r="D20" s="4">
        <v>0</v>
      </c>
      <c r="E20" s="4" t="s">
        <v>35</v>
      </c>
    </row>
    <row r="21" spans="1:5">
      <c r="A21" s="4" t="s">
        <v>36</v>
      </c>
      <c r="B21" s="4"/>
      <c r="C21" s="11" t="s">
        <v>37</v>
      </c>
      <c r="D21" s="4">
        <v>0</v>
      </c>
      <c r="E21" s="4" t="s">
        <v>38</v>
      </c>
    </row>
    <row r="22" spans="1:5">
      <c r="A22" s="4"/>
      <c r="B22" s="4"/>
      <c r="C22" s="12" t="s">
        <v>39</v>
      </c>
      <c r="D22" s="4">
        <v>0</v>
      </c>
      <c r="E22" s="4" t="s">
        <v>40</v>
      </c>
    </row>
    <row r="24" spans="1:5" ht="15">
      <c r="A24" s="57" t="s">
        <v>41</v>
      </c>
      <c r="B24" s="57"/>
      <c r="C24" s="57"/>
      <c r="D24" s="57"/>
      <c r="E24" s="57"/>
    </row>
    <row r="25" spans="1:5">
      <c r="A25" s="58" t="s">
        <v>42</v>
      </c>
      <c r="B25" s="58"/>
      <c r="C25" s="58"/>
      <c r="D25" s="58"/>
      <c r="E25" s="58"/>
    </row>
    <row r="26" spans="1:5">
      <c r="A26" s="58" t="s">
        <v>43</v>
      </c>
      <c r="B26" s="58"/>
      <c r="C26" s="58"/>
      <c r="D26" s="58"/>
      <c r="E26" s="58"/>
    </row>
    <row r="27" spans="1:5">
      <c r="A27" s="58" t="s">
        <v>44</v>
      </c>
      <c r="B27" s="58"/>
      <c r="C27" s="58"/>
      <c r="D27" s="58"/>
      <c r="E27" s="58"/>
    </row>
    <row r="28" spans="1:5">
      <c r="A28" s="58" t="s">
        <v>45</v>
      </c>
      <c r="B28" s="58"/>
      <c r="C28" s="58"/>
      <c r="D28" s="58"/>
      <c r="E28" s="58"/>
    </row>
    <row r="29" spans="1:5" ht="24" customHeight="1"/>
    <row r="30" spans="1:5" ht="24" customHeight="1"/>
  </sheetData>
  <sheetProtection password="CC3D" sheet="1" objects="1" formatCells="0" formatColumns="0" formatRows="0" insertColumns="0" insertRows="0" insertHyperlinks="0" deleteColumns="0" deleteRows="0" sort="0" autoFilter="0" pivotTables="0"/>
  <mergeCells count="6">
    <mergeCell ref="A28:E28"/>
    <mergeCell ref="B1:H2"/>
    <mergeCell ref="A24:E24"/>
    <mergeCell ref="A25:E25"/>
    <mergeCell ref="A26:E26"/>
    <mergeCell ref="A27:E27"/>
  </mergeCells>
  <dataValidations count="1">
    <dataValidation type="list" sqref="C15:C21" xr:uid="{00000000-0002-0000-0000-000000000000}">
      <formula1>"VERDE,AZUL,TURQUESA,ROJO,VERDE CLARO,NARANJA,GRIS"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05" t="s">
        <v>62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06" t="str">
        <f>"AGOSTO "&amp;CONFIGURACIÓN!B4&amp;" · "&amp;CONFIGURACIÓN!B5</f>
        <v>AGOSTO 2026 · CENTRO DE TRABAJO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07" t="s">
        <v>63</v>
      </c>
      <c r="B5" s="41" t="str">
        <f>IF(DAY(EOMONTH(DATE(CONFIGURACIÓN!$B$4,8,1),0))&gt;=1,CHOOSE(WEEKDAY(DATE(CONFIGURACIÓN!$B$4,8,1),2),"L","M","X","J","V","S","D"),"")</f>
        <v>S</v>
      </c>
      <c r="C5" s="41" t="str">
        <f>IF(DAY(EOMONTH(DATE(CONFIGURACIÓN!$B$4,8,1),0))&gt;=2,CHOOSE(WEEKDAY(DATE(CONFIGURACIÓN!$B$4,8,2),2),"L","M","X","J","V","S","D"),"")</f>
        <v>D</v>
      </c>
      <c r="D5" s="41" t="str">
        <f>IF(DAY(EOMONTH(DATE(CONFIGURACIÓN!$B$4,8,1),0))&gt;=3,CHOOSE(WEEKDAY(DATE(CONFIGURACIÓN!$B$4,8,3),2),"L","M","X","J","V","S","D"),"")</f>
        <v>L</v>
      </c>
      <c r="E5" s="41" t="str">
        <f>IF(DAY(EOMONTH(DATE(CONFIGURACIÓN!$B$4,8,1),0))&gt;=4,CHOOSE(WEEKDAY(DATE(CONFIGURACIÓN!$B$4,8,4),2),"L","M","X","J","V","S","D"),"")</f>
        <v>M</v>
      </c>
      <c r="F5" s="41" t="str">
        <f>IF(DAY(EOMONTH(DATE(CONFIGURACIÓN!$B$4,8,1),0))&gt;=5,CHOOSE(WEEKDAY(DATE(CONFIGURACIÓN!$B$4,8,5),2),"L","M","X","J","V","S","D"),"")</f>
        <v>X</v>
      </c>
      <c r="G5" s="41" t="str">
        <f>IF(DAY(EOMONTH(DATE(CONFIGURACIÓN!$B$4,8,1),0))&gt;=6,CHOOSE(WEEKDAY(DATE(CONFIGURACIÓN!$B$4,8,6),2),"L","M","X","J","V","S","D"),"")</f>
        <v>J</v>
      </c>
      <c r="H5" s="41" t="str">
        <f>IF(DAY(EOMONTH(DATE(CONFIGURACIÓN!$B$4,8,1),0))&gt;=7,CHOOSE(WEEKDAY(DATE(CONFIGURACIÓN!$B$4,8,7),2),"L","M","X","J","V","S","D"),"")</f>
        <v>V</v>
      </c>
      <c r="I5" s="41" t="str">
        <f>IF(DAY(EOMONTH(DATE(CONFIGURACIÓN!$B$4,8,1),0))&gt;=8,CHOOSE(WEEKDAY(DATE(CONFIGURACIÓN!$B$4,8,8),2),"L","M","X","J","V","S","D"),"")</f>
        <v>S</v>
      </c>
      <c r="J5" s="41" t="str">
        <f>IF(DAY(EOMONTH(DATE(CONFIGURACIÓN!$B$4,8,1),0))&gt;=9,CHOOSE(WEEKDAY(DATE(CONFIGURACIÓN!$B$4,8,9),2),"L","M","X","J","V","S","D"),"")</f>
        <v>D</v>
      </c>
      <c r="K5" s="41" t="str">
        <f>IF(DAY(EOMONTH(DATE(CONFIGURACIÓN!$B$4,8,1),0))&gt;=10,CHOOSE(WEEKDAY(DATE(CONFIGURACIÓN!$B$4,8,10),2),"L","M","X","J","V","S","D"),"")</f>
        <v>L</v>
      </c>
      <c r="L5" s="41" t="str">
        <f>IF(DAY(EOMONTH(DATE(CONFIGURACIÓN!$B$4,8,1),0))&gt;=11,CHOOSE(WEEKDAY(DATE(CONFIGURACIÓN!$B$4,8,11),2),"L","M","X","J","V","S","D"),"")</f>
        <v>M</v>
      </c>
      <c r="M5" s="41" t="str">
        <f>IF(DAY(EOMONTH(DATE(CONFIGURACIÓN!$B$4,8,1),0))&gt;=12,CHOOSE(WEEKDAY(DATE(CONFIGURACIÓN!$B$4,8,12),2),"L","M","X","J","V","S","D"),"")</f>
        <v>X</v>
      </c>
      <c r="N5" s="41" t="str">
        <f>IF(DAY(EOMONTH(DATE(CONFIGURACIÓN!$B$4,8,1),0))&gt;=13,CHOOSE(WEEKDAY(DATE(CONFIGURACIÓN!$B$4,8,13),2),"L","M","X","J","V","S","D"),"")</f>
        <v>J</v>
      </c>
      <c r="O5" s="41" t="str">
        <f>IF(DAY(EOMONTH(DATE(CONFIGURACIÓN!$B$4,8,1),0))&gt;=14,CHOOSE(WEEKDAY(DATE(CONFIGURACIÓN!$B$4,8,14),2),"L","M","X","J","V","S","D"),"")</f>
        <v>V</v>
      </c>
      <c r="P5" s="41" t="str">
        <f>IF(DAY(EOMONTH(DATE(CONFIGURACIÓN!$B$4,8,1),0))&gt;=15,CHOOSE(WEEKDAY(DATE(CONFIGURACIÓN!$B$4,8,15),2),"L","M","X","J","V","S","D"),"")</f>
        <v>S</v>
      </c>
      <c r="Q5" s="41" t="str">
        <f>IF(DAY(EOMONTH(DATE(CONFIGURACIÓN!$B$4,8,1),0))&gt;=16,CHOOSE(WEEKDAY(DATE(CONFIGURACIÓN!$B$4,8,16),2),"L","M","X","J","V","S","D"),"")</f>
        <v>D</v>
      </c>
      <c r="R5" s="41" t="str">
        <f>IF(DAY(EOMONTH(DATE(CONFIGURACIÓN!$B$4,8,1),0))&gt;=17,CHOOSE(WEEKDAY(DATE(CONFIGURACIÓN!$B$4,8,17),2),"L","M","X","J","V","S","D"),"")</f>
        <v>L</v>
      </c>
      <c r="S5" s="41" t="str">
        <f>IF(DAY(EOMONTH(DATE(CONFIGURACIÓN!$B$4,8,1),0))&gt;=18,CHOOSE(WEEKDAY(DATE(CONFIGURACIÓN!$B$4,8,18),2),"L","M","X","J","V","S","D"),"")</f>
        <v>M</v>
      </c>
      <c r="T5" s="41" t="str">
        <f>IF(DAY(EOMONTH(DATE(CONFIGURACIÓN!$B$4,8,1),0))&gt;=19,CHOOSE(WEEKDAY(DATE(CONFIGURACIÓN!$B$4,8,19),2),"L","M","X","J","V","S","D"),"")</f>
        <v>X</v>
      </c>
      <c r="U5" s="41" t="str">
        <f>IF(DAY(EOMONTH(DATE(CONFIGURACIÓN!$B$4,8,1),0))&gt;=20,CHOOSE(WEEKDAY(DATE(CONFIGURACIÓN!$B$4,8,20),2),"L","M","X","J","V","S","D"),"")</f>
        <v>J</v>
      </c>
      <c r="V5" s="41" t="str">
        <f>IF(DAY(EOMONTH(DATE(CONFIGURACIÓN!$B$4,8,1),0))&gt;=21,CHOOSE(WEEKDAY(DATE(CONFIGURACIÓN!$B$4,8,21),2),"L","M","X","J","V","S","D"),"")</f>
        <v>V</v>
      </c>
      <c r="W5" s="41" t="str">
        <f>IF(DAY(EOMONTH(DATE(CONFIGURACIÓN!$B$4,8,1),0))&gt;=22,CHOOSE(WEEKDAY(DATE(CONFIGURACIÓN!$B$4,8,22),2),"L","M","X","J","V","S","D"),"")</f>
        <v>S</v>
      </c>
      <c r="X5" s="41" t="str">
        <f>IF(DAY(EOMONTH(DATE(CONFIGURACIÓN!$B$4,8,1),0))&gt;=23,CHOOSE(WEEKDAY(DATE(CONFIGURACIÓN!$B$4,8,23),2),"L","M","X","J","V","S","D"),"")</f>
        <v>D</v>
      </c>
      <c r="Y5" s="41" t="str">
        <f>IF(DAY(EOMONTH(DATE(CONFIGURACIÓN!$B$4,8,1),0))&gt;=24,CHOOSE(WEEKDAY(DATE(CONFIGURACIÓN!$B$4,8,24),2),"L","M","X","J","V","S","D"),"")</f>
        <v>L</v>
      </c>
      <c r="Z5" s="41" t="str">
        <f>IF(DAY(EOMONTH(DATE(CONFIGURACIÓN!$B$4,8,1),0))&gt;=25,CHOOSE(WEEKDAY(DATE(CONFIGURACIÓN!$B$4,8,25),2),"L","M","X","J","V","S","D"),"")</f>
        <v>M</v>
      </c>
      <c r="AA5" s="41" t="str">
        <f>IF(DAY(EOMONTH(DATE(CONFIGURACIÓN!$B$4,8,1),0))&gt;=26,CHOOSE(WEEKDAY(DATE(CONFIGURACIÓN!$B$4,8,26),2),"L","M","X","J","V","S","D"),"")</f>
        <v>X</v>
      </c>
      <c r="AB5" s="41" t="str">
        <f>IF(DAY(EOMONTH(DATE(CONFIGURACIÓN!$B$4,8,1),0))&gt;=27,CHOOSE(WEEKDAY(DATE(CONFIGURACIÓN!$B$4,8,27),2),"L","M","X","J","V","S","D"),"")</f>
        <v>J</v>
      </c>
      <c r="AC5" s="41" t="str">
        <f>IF(DAY(EOMONTH(DATE(CONFIGURACIÓN!$B$4,8,1),0))&gt;=28,CHOOSE(WEEKDAY(DATE(CONFIGURACIÓN!$B$4,8,28),2),"L","M","X","J","V","S","D"),"")</f>
        <v>V</v>
      </c>
      <c r="AD5" s="41" t="str">
        <f>IF(DAY(EOMONTH(DATE(CONFIGURACIÓN!$B$4,8,1),0))&gt;=29,CHOOSE(WEEKDAY(DATE(CONFIGURACIÓN!$B$4,8,29),2),"L","M","X","J","V","S","D"),"")</f>
        <v>S</v>
      </c>
      <c r="AE5" s="41" t="str">
        <f>IF(DAY(EOMONTH(DATE(CONFIGURACIÓN!$B$4,8,1),0))&gt;=30,CHOOSE(WEEKDAY(DATE(CONFIGURACIÓN!$B$4,8,30),2),"L","M","X","J","V","S","D"),"")</f>
        <v>D</v>
      </c>
      <c r="AF5" s="41" t="str">
        <f>IF(DAY(EOMONTH(DATE(CONFIGURACIÓN!$B$4,8,1),0))&gt;=31,CHOOSE(WEEKDAY(DATE(CONFIGURACIÓN!$B$4,8,31),2),"L","M","X","J","V","S","D"),"")</f>
        <v>L</v>
      </c>
    </row>
    <row r="6" spans="1:39" ht="21.95" customHeight="1">
      <c r="A6" s="107"/>
      <c r="B6" s="41">
        <f>IF(DAY(EOMONTH(DATE(CONFIGURACIÓN!$B$4,8,1),0))&gt;=1,1,"")</f>
        <v>1</v>
      </c>
      <c r="C6" s="41">
        <f>IF(DAY(EOMONTH(DATE(CONFIGURACIÓN!$B$4,8,1),0))&gt;=2,2,"")</f>
        <v>2</v>
      </c>
      <c r="D6" s="41">
        <f>IF(DAY(EOMONTH(DATE(CONFIGURACIÓN!$B$4,8,1),0))&gt;=3,3,"")</f>
        <v>3</v>
      </c>
      <c r="E6" s="41">
        <f>IF(DAY(EOMONTH(DATE(CONFIGURACIÓN!$B$4,8,1),0))&gt;=4,4,"")</f>
        <v>4</v>
      </c>
      <c r="F6" s="41">
        <f>IF(DAY(EOMONTH(DATE(CONFIGURACIÓN!$B$4,8,1),0))&gt;=5,5,"")</f>
        <v>5</v>
      </c>
      <c r="G6" s="41">
        <f>IF(DAY(EOMONTH(DATE(CONFIGURACIÓN!$B$4,8,1),0))&gt;=6,6,"")</f>
        <v>6</v>
      </c>
      <c r="H6" s="41">
        <f>IF(DAY(EOMONTH(DATE(CONFIGURACIÓN!$B$4,8,1),0))&gt;=7,7,"")</f>
        <v>7</v>
      </c>
      <c r="I6" s="41">
        <f>IF(DAY(EOMONTH(DATE(CONFIGURACIÓN!$B$4,8,1),0))&gt;=8,8,"")</f>
        <v>8</v>
      </c>
      <c r="J6" s="41">
        <f>IF(DAY(EOMONTH(DATE(CONFIGURACIÓN!$B$4,8,1),0))&gt;=9,9,"")</f>
        <v>9</v>
      </c>
      <c r="K6" s="41">
        <f>IF(DAY(EOMONTH(DATE(CONFIGURACIÓN!$B$4,8,1),0))&gt;=10,10,"")</f>
        <v>10</v>
      </c>
      <c r="L6" s="41">
        <f>IF(DAY(EOMONTH(DATE(CONFIGURACIÓN!$B$4,8,1),0))&gt;=11,11,"")</f>
        <v>11</v>
      </c>
      <c r="M6" s="41">
        <f>IF(DAY(EOMONTH(DATE(CONFIGURACIÓN!$B$4,8,1),0))&gt;=12,12,"")</f>
        <v>12</v>
      </c>
      <c r="N6" s="41">
        <f>IF(DAY(EOMONTH(DATE(CONFIGURACIÓN!$B$4,8,1),0))&gt;=13,13,"")</f>
        <v>13</v>
      </c>
      <c r="O6" s="41">
        <f>IF(DAY(EOMONTH(DATE(CONFIGURACIÓN!$B$4,8,1),0))&gt;=14,14,"")</f>
        <v>14</v>
      </c>
      <c r="P6" s="41">
        <f>IF(DAY(EOMONTH(DATE(CONFIGURACIÓN!$B$4,8,1),0))&gt;=15,15,"")</f>
        <v>15</v>
      </c>
      <c r="Q6" s="41">
        <f>IF(DAY(EOMONTH(DATE(CONFIGURACIÓN!$B$4,8,1),0))&gt;=16,16,"")</f>
        <v>16</v>
      </c>
      <c r="R6" s="41">
        <f>IF(DAY(EOMONTH(DATE(CONFIGURACIÓN!$B$4,8,1),0))&gt;=17,17,"")</f>
        <v>17</v>
      </c>
      <c r="S6" s="41">
        <f>IF(DAY(EOMONTH(DATE(CONFIGURACIÓN!$B$4,8,1),0))&gt;=18,18,"")</f>
        <v>18</v>
      </c>
      <c r="T6" s="41">
        <f>IF(DAY(EOMONTH(DATE(CONFIGURACIÓN!$B$4,8,1),0))&gt;=19,19,"")</f>
        <v>19</v>
      </c>
      <c r="U6" s="41">
        <f>IF(DAY(EOMONTH(DATE(CONFIGURACIÓN!$B$4,8,1),0))&gt;=20,20,"")</f>
        <v>20</v>
      </c>
      <c r="V6" s="41">
        <f>IF(DAY(EOMONTH(DATE(CONFIGURACIÓN!$B$4,8,1),0))&gt;=21,21,"")</f>
        <v>21</v>
      </c>
      <c r="W6" s="41">
        <f>IF(DAY(EOMONTH(DATE(CONFIGURACIÓN!$B$4,8,1),0))&gt;=22,22,"")</f>
        <v>22</v>
      </c>
      <c r="X6" s="41">
        <f>IF(DAY(EOMONTH(DATE(CONFIGURACIÓN!$B$4,8,1),0))&gt;=23,23,"")</f>
        <v>23</v>
      </c>
      <c r="Y6" s="41">
        <f>IF(DAY(EOMONTH(DATE(CONFIGURACIÓN!$B$4,8,1),0))&gt;=24,24,"")</f>
        <v>24</v>
      </c>
      <c r="Z6" s="41">
        <f>IF(DAY(EOMONTH(DATE(CONFIGURACIÓN!$B$4,8,1),0))&gt;=25,25,"")</f>
        <v>25</v>
      </c>
      <c r="AA6" s="41">
        <f>IF(DAY(EOMONTH(DATE(CONFIGURACIÓN!$B$4,8,1),0))&gt;=26,26,"")</f>
        <v>26</v>
      </c>
      <c r="AB6" s="41">
        <f>IF(DAY(EOMONTH(DATE(CONFIGURACIÓN!$B$4,8,1),0))&gt;=27,27,"")</f>
        <v>27</v>
      </c>
      <c r="AC6" s="41">
        <f>IF(DAY(EOMONTH(DATE(CONFIGURACIÓN!$B$4,8,1),0))&gt;=28,28,"")</f>
        <v>28</v>
      </c>
      <c r="AD6" s="41">
        <f>IF(DAY(EOMONTH(DATE(CONFIGURACIÓN!$B$4,8,1),0))&gt;=29,29,"")</f>
        <v>29</v>
      </c>
      <c r="AE6" s="41">
        <f>IF(DAY(EOMONTH(DATE(CONFIGURACIÓN!$B$4,8,1),0))&gt;=30,30,"")</f>
        <v>30</v>
      </c>
      <c r="AF6" s="41">
        <f>IF(DAY(EOMONTH(DATE(CONFIGURACIÓN!$B$4,8,1),0))&gt;=31,31,"")</f>
        <v>31</v>
      </c>
    </row>
    <row r="7" spans="1:39" ht="21.95" customHeight="1">
      <c r="A7" s="10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08" t="s">
        <v>64</v>
      </c>
      <c r="B16" s="108"/>
      <c r="C16" s="108"/>
      <c r="D16" s="108"/>
      <c r="E16" s="108"/>
      <c r="F16" s="108"/>
      <c r="G16" s="108"/>
      <c r="H16" s="10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42" t="s">
        <v>47</v>
      </c>
      <c r="B17" s="42" t="s">
        <v>15</v>
      </c>
      <c r="C17" s="42" t="s">
        <v>66</v>
      </c>
      <c r="D17" s="42" t="s">
        <v>67</v>
      </c>
      <c r="E17" s="42" t="s">
        <v>68</v>
      </c>
      <c r="F17" s="42" t="s">
        <v>69</v>
      </c>
      <c r="G17" s="42" t="s">
        <v>61</v>
      </c>
      <c r="H17" s="42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43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43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43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43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43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43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</row>
    <row r="26" spans="1:32" ht="24" customHeight="1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254" priority="1" operator="equal">
      <formula>"D"</formula>
    </cfRule>
    <cfRule type="cellIs" dxfId="253" priority="2" operator="equal">
      <formula>"S"</formula>
    </cfRule>
  </conditionalFormatting>
  <conditionalFormatting sqref="B8:AF13">
    <cfRule type="expression" dxfId="252" priority="3">
      <formula>AND(B8=$AG$1,$AG$2="VERDE")</formula>
    </cfRule>
    <cfRule type="expression" dxfId="251" priority="4">
      <formula>AND(B8=$AG$1,$AG$2="AZUL")</formula>
    </cfRule>
    <cfRule type="expression" dxfId="250" priority="5">
      <formula>AND(B8=$AG$1,$AG$2="TURQUESA")</formula>
    </cfRule>
    <cfRule type="expression" dxfId="249" priority="6">
      <formula>AND(B8=$AG$1,$AG$2="ROJO")</formula>
    </cfRule>
    <cfRule type="expression" dxfId="248" priority="7">
      <formula>AND(B8=$AG$1,$AG$2="VERDE CLARO")</formula>
    </cfRule>
    <cfRule type="expression" dxfId="247" priority="8">
      <formula>AND(B8=$AG$1,$AG$2="NARANJA")</formula>
    </cfRule>
    <cfRule type="expression" dxfId="246" priority="9">
      <formula>AND(B8=$AG$1,$AG$2="GRIS")</formula>
    </cfRule>
    <cfRule type="expression" dxfId="245" priority="10">
      <formula>AND(B8=$AH$1,$AH$2="VERDE")</formula>
    </cfRule>
    <cfRule type="expression" dxfId="244" priority="11">
      <formula>AND(B8=$AH$1,$AH$2="AZUL")</formula>
    </cfRule>
    <cfRule type="expression" dxfId="243" priority="12">
      <formula>AND(B8=$AH$1,$AH$2="TURQUESA")</formula>
    </cfRule>
    <cfRule type="expression" dxfId="242" priority="13">
      <formula>AND(B8=$AH$1,$AH$2="ROJO")</formula>
    </cfRule>
    <cfRule type="expression" dxfId="241" priority="14">
      <formula>AND(B8=$AH$1,$AH$2="VERDE CLARO")</formula>
    </cfRule>
    <cfRule type="expression" dxfId="240" priority="15">
      <formula>AND(B8=$AH$1,$AH$2="NARANJA")</formula>
    </cfRule>
    <cfRule type="expression" dxfId="239" priority="16">
      <formula>AND(B8=$AH$1,$AH$2="GRIS")</formula>
    </cfRule>
    <cfRule type="expression" dxfId="238" priority="17">
      <formula>AND(B8=$AI$1,$AI$2="VERDE")</formula>
    </cfRule>
    <cfRule type="expression" dxfId="237" priority="18">
      <formula>AND(B8=$AI$1,$AI$2="AZUL")</formula>
    </cfRule>
    <cfRule type="expression" dxfId="236" priority="19">
      <formula>AND(B8=$AI$1,$AI$2="TURQUESA")</formula>
    </cfRule>
    <cfRule type="expression" dxfId="235" priority="20">
      <formula>AND(B8=$AI$1,$AI$2="ROJO")</formula>
    </cfRule>
    <cfRule type="expression" dxfId="234" priority="21">
      <formula>AND(B8=$AI$1,$AI$2="VERDE CLARO")</formula>
    </cfRule>
    <cfRule type="expression" dxfId="233" priority="22">
      <formula>AND(B8=$AI$1,$AI$2="NARANJA")</formula>
    </cfRule>
    <cfRule type="expression" dxfId="232" priority="23">
      <formula>AND(B8=$AI$1,$AI$2="GRIS")</formula>
    </cfRule>
    <cfRule type="expression" dxfId="231" priority="24">
      <formula>AND(B8=$AJ$1,$AJ$2="VERDE")</formula>
    </cfRule>
    <cfRule type="expression" dxfId="230" priority="25">
      <formula>AND(B8=$AJ$1,$AJ$2="AZUL")</formula>
    </cfRule>
    <cfRule type="expression" dxfId="229" priority="26">
      <formula>AND(B8=$AJ$1,$AJ$2="TURQUESA")</formula>
    </cfRule>
    <cfRule type="expression" dxfId="228" priority="27">
      <formula>AND(B8=$AJ$1,$AJ$2="ROJO")</formula>
    </cfRule>
    <cfRule type="expression" dxfId="227" priority="28">
      <formula>AND(B8=$AJ$1,$AJ$2="VERDE CLARO")</formula>
    </cfRule>
    <cfRule type="expression" dxfId="226" priority="29">
      <formula>AND(B8=$AJ$1,$AJ$2="NARANJA")</formula>
    </cfRule>
    <cfRule type="expression" dxfId="225" priority="30">
      <formula>AND(B8=$AJ$1,$AJ$2="GRIS")</formula>
    </cfRule>
    <cfRule type="expression" dxfId="224" priority="31">
      <formula>AND(B8=$AK$1,$AK$2="VERDE")</formula>
    </cfRule>
    <cfRule type="expression" dxfId="223" priority="32">
      <formula>AND(B8=$AK$1,$AK$2="AZUL")</formula>
    </cfRule>
    <cfRule type="expression" dxfId="222" priority="33">
      <formula>AND(B8=$AK$1,$AK$2="TURQUESA")</formula>
    </cfRule>
    <cfRule type="expression" dxfId="221" priority="34">
      <formula>AND(B8=$AK$1,$AK$2="ROJO")</formula>
    </cfRule>
    <cfRule type="expression" dxfId="220" priority="35">
      <formula>AND(B8=$AK$1,$AK$2="VERDE CLARO")</formula>
    </cfRule>
    <cfRule type="expression" dxfId="219" priority="36">
      <formula>AND(B8=$AK$1,$AK$2="NARANJA")</formula>
    </cfRule>
    <cfRule type="expression" dxfId="218" priority="37">
      <formula>AND(B8=$AK$1,$AK$2="GRIS")</formula>
    </cfRule>
    <cfRule type="expression" dxfId="217" priority="38">
      <formula>AND(B8=$AL$1,$AL$2="VERDE")</formula>
    </cfRule>
    <cfRule type="expression" dxfId="216" priority="39">
      <formula>AND(B8=$AL$1,$AL$2="AZUL")</formula>
    </cfRule>
    <cfRule type="expression" dxfId="215" priority="40">
      <formula>AND(B8=$AL$1,$AL$2="TURQUESA")</formula>
    </cfRule>
    <cfRule type="expression" dxfId="214" priority="41">
      <formula>AND(B8=$AL$1,$AL$2="ROJO")</formula>
    </cfRule>
    <cfRule type="expression" dxfId="213" priority="42">
      <formula>AND(B8=$AL$1,$AL$2="VERDE CLARO")</formula>
    </cfRule>
    <cfRule type="expression" dxfId="212" priority="43">
      <formula>AND(B8=$AL$1,$AL$2="NARANJA")</formula>
    </cfRule>
    <cfRule type="expression" dxfId="211" priority="44">
      <formula>AND(B8=$AL$1,$AL$2="GRIS")</formula>
    </cfRule>
    <cfRule type="expression" dxfId="210" priority="45">
      <formula>AND(B8=$AM$1,$AM$2="VERDE")</formula>
    </cfRule>
    <cfRule type="expression" dxfId="209" priority="46">
      <formula>AND(B8=$AM$1,$AM$2="AZUL")</formula>
    </cfRule>
    <cfRule type="expression" dxfId="208" priority="47">
      <formula>AND(B8=$AM$1,$AM$2="TURQUESA")</formula>
    </cfRule>
    <cfRule type="expression" dxfId="207" priority="48">
      <formula>AND(B8=$AM$1,$AM$2="ROJO")</formula>
    </cfRule>
    <cfRule type="expression" dxfId="206" priority="49">
      <formula>AND(B8=$AM$1,$AM$2="VERDE CLARO")</formula>
    </cfRule>
    <cfRule type="expression" dxfId="205" priority="50">
      <formula>AND(B8=$AM$1,$AM$2="NARANJA")</formula>
    </cfRule>
    <cfRule type="expression" dxfId="204" priority="51">
      <formula>AND(B8=$AM$1,$AM$2="GRIS")</formula>
    </cfRule>
  </conditionalFormatting>
  <dataValidations count="1">
    <dataValidation type="list" sqref="B8:AF13" xr:uid="{00000000-0002-0000-0900-000000000000}">
      <formula1>$AG$1:$AM$1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10" t="s">
        <v>62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11" t="str">
        <f>"SEPTIEMBRE "&amp;CONFIGURACIÓN!B4&amp;" · "&amp;CONFIGURACIÓN!B5</f>
        <v>SEPTIEMBRE 2026 · CENTRO DE TRABAJO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12" t="s">
        <v>63</v>
      </c>
      <c r="B5" s="44" t="str">
        <f>IF(DAY(EOMONTH(DATE(CONFIGURACIÓN!$B$4,9,1),0))&gt;=1,CHOOSE(WEEKDAY(DATE(CONFIGURACIÓN!$B$4,9,1),2),"L","M","X","J","V","S","D"),"")</f>
        <v>M</v>
      </c>
      <c r="C5" s="44" t="str">
        <f>IF(DAY(EOMONTH(DATE(CONFIGURACIÓN!$B$4,9,1),0))&gt;=2,CHOOSE(WEEKDAY(DATE(CONFIGURACIÓN!$B$4,9,2),2),"L","M","X","J","V","S","D"),"")</f>
        <v>X</v>
      </c>
      <c r="D5" s="44" t="str">
        <f>IF(DAY(EOMONTH(DATE(CONFIGURACIÓN!$B$4,9,1),0))&gt;=3,CHOOSE(WEEKDAY(DATE(CONFIGURACIÓN!$B$4,9,3),2),"L","M","X","J","V","S","D"),"")</f>
        <v>J</v>
      </c>
      <c r="E5" s="44" t="str">
        <f>IF(DAY(EOMONTH(DATE(CONFIGURACIÓN!$B$4,9,1),0))&gt;=4,CHOOSE(WEEKDAY(DATE(CONFIGURACIÓN!$B$4,9,4),2),"L","M","X","J","V","S","D"),"")</f>
        <v>V</v>
      </c>
      <c r="F5" s="44" t="str">
        <f>IF(DAY(EOMONTH(DATE(CONFIGURACIÓN!$B$4,9,1),0))&gt;=5,CHOOSE(WEEKDAY(DATE(CONFIGURACIÓN!$B$4,9,5),2),"L","M","X","J","V","S","D"),"")</f>
        <v>S</v>
      </c>
      <c r="G5" s="44" t="str">
        <f>IF(DAY(EOMONTH(DATE(CONFIGURACIÓN!$B$4,9,1),0))&gt;=6,CHOOSE(WEEKDAY(DATE(CONFIGURACIÓN!$B$4,9,6),2),"L","M","X","J","V","S","D"),"")</f>
        <v>D</v>
      </c>
      <c r="H5" s="44" t="str">
        <f>IF(DAY(EOMONTH(DATE(CONFIGURACIÓN!$B$4,9,1),0))&gt;=7,CHOOSE(WEEKDAY(DATE(CONFIGURACIÓN!$B$4,9,7),2),"L","M","X","J","V","S","D"),"")</f>
        <v>L</v>
      </c>
      <c r="I5" s="44" t="str">
        <f>IF(DAY(EOMONTH(DATE(CONFIGURACIÓN!$B$4,9,1),0))&gt;=8,CHOOSE(WEEKDAY(DATE(CONFIGURACIÓN!$B$4,9,8),2),"L","M","X","J","V","S","D"),"")</f>
        <v>M</v>
      </c>
      <c r="J5" s="44" t="str">
        <f>IF(DAY(EOMONTH(DATE(CONFIGURACIÓN!$B$4,9,1),0))&gt;=9,CHOOSE(WEEKDAY(DATE(CONFIGURACIÓN!$B$4,9,9),2),"L","M","X","J","V","S","D"),"")</f>
        <v>X</v>
      </c>
      <c r="K5" s="44" t="str">
        <f>IF(DAY(EOMONTH(DATE(CONFIGURACIÓN!$B$4,9,1),0))&gt;=10,CHOOSE(WEEKDAY(DATE(CONFIGURACIÓN!$B$4,9,10),2),"L","M","X","J","V","S","D"),"")</f>
        <v>J</v>
      </c>
      <c r="L5" s="44" t="str">
        <f>IF(DAY(EOMONTH(DATE(CONFIGURACIÓN!$B$4,9,1),0))&gt;=11,CHOOSE(WEEKDAY(DATE(CONFIGURACIÓN!$B$4,9,11),2),"L","M","X","J","V","S","D"),"")</f>
        <v>V</v>
      </c>
      <c r="M5" s="44" t="str">
        <f>IF(DAY(EOMONTH(DATE(CONFIGURACIÓN!$B$4,9,1),0))&gt;=12,CHOOSE(WEEKDAY(DATE(CONFIGURACIÓN!$B$4,9,12),2),"L","M","X","J","V","S","D"),"")</f>
        <v>S</v>
      </c>
      <c r="N5" s="44" t="str">
        <f>IF(DAY(EOMONTH(DATE(CONFIGURACIÓN!$B$4,9,1),0))&gt;=13,CHOOSE(WEEKDAY(DATE(CONFIGURACIÓN!$B$4,9,13),2),"L","M","X","J","V","S","D"),"")</f>
        <v>D</v>
      </c>
      <c r="O5" s="44" t="str">
        <f>IF(DAY(EOMONTH(DATE(CONFIGURACIÓN!$B$4,9,1),0))&gt;=14,CHOOSE(WEEKDAY(DATE(CONFIGURACIÓN!$B$4,9,14),2),"L","M","X","J","V","S","D"),"")</f>
        <v>L</v>
      </c>
      <c r="P5" s="44" t="str">
        <f>IF(DAY(EOMONTH(DATE(CONFIGURACIÓN!$B$4,9,1),0))&gt;=15,CHOOSE(WEEKDAY(DATE(CONFIGURACIÓN!$B$4,9,15),2),"L","M","X","J","V","S","D"),"")</f>
        <v>M</v>
      </c>
      <c r="Q5" s="44" t="str">
        <f>IF(DAY(EOMONTH(DATE(CONFIGURACIÓN!$B$4,9,1),0))&gt;=16,CHOOSE(WEEKDAY(DATE(CONFIGURACIÓN!$B$4,9,16),2),"L","M","X","J","V","S","D"),"")</f>
        <v>X</v>
      </c>
      <c r="R5" s="44" t="str">
        <f>IF(DAY(EOMONTH(DATE(CONFIGURACIÓN!$B$4,9,1),0))&gt;=17,CHOOSE(WEEKDAY(DATE(CONFIGURACIÓN!$B$4,9,17),2),"L","M","X","J","V","S","D"),"")</f>
        <v>J</v>
      </c>
      <c r="S5" s="44" t="str">
        <f>IF(DAY(EOMONTH(DATE(CONFIGURACIÓN!$B$4,9,1),0))&gt;=18,CHOOSE(WEEKDAY(DATE(CONFIGURACIÓN!$B$4,9,18),2),"L","M","X","J","V","S","D"),"")</f>
        <v>V</v>
      </c>
      <c r="T5" s="44" t="str">
        <f>IF(DAY(EOMONTH(DATE(CONFIGURACIÓN!$B$4,9,1),0))&gt;=19,CHOOSE(WEEKDAY(DATE(CONFIGURACIÓN!$B$4,9,19),2),"L","M","X","J","V","S","D"),"")</f>
        <v>S</v>
      </c>
      <c r="U5" s="44" t="str">
        <f>IF(DAY(EOMONTH(DATE(CONFIGURACIÓN!$B$4,9,1),0))&gt;=20,CHOOSE(WEEKDAY(DATE(CONFIGURACIÓN!$B$4,9,20),2),"L","M","X","J","V","S","D"),"")</f>
        <v>D</v>
      </c>
      <c r="V5" s="44" t="str">
        <f>IF(DAY(EOMONTH(DATE(CONFIGURACIÓN!$B$4,9,1),0))&gt;=21,CHOOSE(WEEKDAY(DATE(CONFIGURACIÓN!$B$4,9,21),2),"L","M","X","J","V","S","D"),"")</f>
        <v>L</v>
      </c>
      <c r="W5" s="44" t="str">
        <f>IF(DAY(EOMONTH(DATE(CONFIGURACIÓN!$B$4,9,1),0))&gt;=22,CHOOSE(WEEKDAY(DATE(CONFIGURACIÓN!$B$4,9,22),2),"L","M","X","J","V","S","D"),"")</f>
        <v>M</v>
      </c>
      <c r="X5" s="44" t="str">
        <f>IF(DAY(EOMONTH(DATE(CONFIGURACIÓN!$B$4,9,1),0))&gt;=23,CHOOSE(WEEKDAY(DATE(CONFIGURACIÓN!$B$4,9,23),2),"L","M","X","J","V","S","D"),"")</f>
        <v>X</v>
      </c>
      <c r="Y5" s="44" t="str">
        <f>IF(DAY(EOMONTH(DATE(CONFIGURACIÓN!$B$4,9,1),0))&gt;=24,CHOOSE(WEEKDAY(DATE(CONFIGURACIÓN!$B$4,9,24),2),"L","M","X","J","V","S","D"),"")</f>
        <v>J</v>
      </c>
      <c r="Z5" s="44" t="str">
        <f>IF(DAY(EOMONTH(DATE(CONFIGURACIÓN!$B$4,9,1),0))&gt;=25,CHOOSE(WEEKDAY(DATE(CONFIGURACIÓN!$B$4,9,25),2),"L","M","X","J","V","S","D"),"")</f>
        <v>V</v>
      </c>
      <c r="AA5" s="44" t="str">
        <f>IF(DAY(EOMONTH(DATE(CONFIGURACIÓN!$B$4,9,1),0))&gt;=26,CHOOSE(WEEKDAY(DATE(CONFIGURACIÓN!$B$4,9,26),2),"L","M","X","J","V","S","D"),"")</f>
        <v>S</v>
      </c>
      <c r="AB5" s="44" t="str">
        <f>IF(DAY(EOMONTH(DATE(CONFIGURACIÓN!$B$4,9,1),0))&gt;=27,CHOOSE(WEEKDAY(DATE(CONFIGURACIÓN!$B$4,9,27),2),"L","M","X","J","V","S","D"),"")</f>
        <v>D</v>
      </c>
      <c r="AC5" s="44" t="str">
        <f>IF(DAY(EOMONTH(DATE(CONFIGURACIÓN!$B$4,9,1),0))&gt;=28,CHOOSE(WEEKDAY(DATE(CONFIGURACIÓN!$B$4,9,28),2),"L","M","X","J","V","S","D"),"")</f>
        <v>L</v>
      </c>
      <c r="AD5" s="44" t="str">
        <f>IF(DAY(EOMONTH(DATE(CONFIGURACIÓN!$B$4,9,1),0))&gt;=29,CHOOSE(WEEKDAY(DATE(CONFIGURACIÓN!$B$4,9,29),2),"L","M","X","J","V","S","D"),"")</f>
        <v>M</v>
      </c>
      <c r="AE5" s="44" t="str">
        <f>IF(DAY(EOMONTH(DATE(CONFIGURACIÓN!$B$4,9,1),0))&gt;=30,CHOOSE(WEEKDAY(DATE(CONFIGURACIÓN!$B$4,9,30),2),"L","M","X","J","V","S","D"),"")</f>
        <v>X</v>
      </c>
      <c r="AF5" s="44" t="str">
        <f>IF(DAY(EOMONTH(DATE(CONFIGURACIÓN!$B$4,9,1),0))&gt;=31,CHOOSE(WEEKDAY(DATE(CONFIGURACIÓN!$B$4,9,31),2),"L","M","X","J","V","S","D"),"")</f>
        <v/>
      </c>
    </row>
    <row r="6" spans="1:39" ht="21.95" customHeight="1">
      <c r="A6" s="112"/>
      <c r="B6" s="44">
        <f>IF(DAY(EOMONTH(DATE(CONFIGURACIÓN!$B$4,9,1),0))&gt;=1,1,"")</f>
        <v>1</v>
      </c>
      <c r="C6" s="44">
        <f>IF(DAY(EOMONTH(DATE(CONFIGURACIÓN!$B$4,9,1),0))&gt;=2,2,"")</f>
        <v>2</v>
      </c>
      <c r="D6" s="44">
        <f>IF(DAY(EOMONTH(DATE(CONFIGURACIÓN!$B$4,9,1),0))&gt;=3,3,"")</f>
        <v>3</v>
      </c>
      <c r="E6" s="44">
        <f>IF(DAY(EOMONTH(DATE(CONFIGURACIÓN!$B$4,9,1),0))&gt;=4,4,"")</f>
        <v>4</v>
      </c>
      <c r="F6" s="44">
        <f>IF(DAY(EOMONTH(DATE(CONFIGURACIÓN!$B$4,9,1),0))&gt;=5,5,"")</f>
        <v>5</v>
      </c>
      <c r="G6" s="44">
        <f>IF(DAY(EOMONTH(DATE(CONFIGURACIÓN!$B$4,9,1),0))&gt;=6,6,"")</f>
        <v>6</v>
      </c>
      <c r="H6" s="44">
        <f>IF(DAY(EOMONTH(DATE(CONFIGURACIÓN!$B$4,9,1),0))&gt;=7,7,"")</f>
        <v>7</v>
      </c>
      <c r="I6" s="44">
        <f>IF(DAY(EOMONTH(DATE(CONFIGURACIÓN!$B$4,9,1),0))&gt;=8,8,"")</f>
        <v>8</v>
      </c>
      <c r="J6" s="44">
        <f>IF(DAY(EOMONTH(DATE(CONFIGURACIÓN!$B$4,9,1),0))&gt;=9,9,"")</f>
        <v>9</v>
      </c>
      <c r="K6" s="44">
        <f>IF(DAY(EOMONTH(DATE(CONFIGURACIÓN!$B$4,9,1),0))&gt;=10,10,"")</f>
        <v>10</v>
      </c>
      <c r="L6" s="44">
        <f>IF(DAY(EOMONTH(DATE(CONFIGURACIÓN!$B$4,9,1),0))&gt;=11,11,"")</f>
        <v>11</v>
      </c>
      <c r="M6" s="44">
        <f>IF(DAY(EOMONTH(DATE(CONFIGURACIÓN!$B$4,9,1),0))&gt;=12,12,"")</f>
        <v>12</v>
      </c>
      <c r="N6" s="44">
        <f>IF(DAY(EOMONTH(DATE(CONFIGURACIÓN!$B$4,9,1),0))&gt;=13,13,"")</f>
        <v>13</v>
      </c>
      <c r="O6" s="44">
        <f>IF(DAY(EOMONTH(DATE(CONFIGURACIÓN!$B$4,9,1),0))&gt;=14,14,"")</f>
        <v>14</v>
      </c>
      <c r="P6" s="44">
        <f>IF(DAY(EOMONTH(DATE(CONFIGURACIÓN!$B$4,9,1),0))&gt;=15,15,"")</f>
        <v>15</v>
      </c>
      <c r="Q6" s="44">
        <f>IF(DAY(EOMONTH(DATE(CONFIGURACIÓN!$B$4,9,1),0))&gt;=16,16,"")</f>
        <v>16</v>
      </c>
      <c r="R6" s="44">
        <f>IF(DAY(EOMONTH(DATE(CONFIGURACIÓN!$B$4,9,1),0))&gt;=17,17,"")</f>
        <v>17</v>
      </c>
      <c r="S6" s="44">
        <f>IF(DAY(EOMONTH(DATE(CONFIGURACIÓN!$B$4,9,1),0))&gt;=18,18,"")</f>
        <v>18</v>
      </c>
      <c r="T6" s="44">
        <f>IF(DAY(EOMONTH(DATE(CONFIGURACIÓN!$B$4,9,1),0))&gt;=19,19,"")</f>
        <v>19</v>
      </c>
      <c r="U6" s="44">
        <f>IF(DAY(EOMONTH(DATE(CONFIGURACIÓN!$B$4,9,1),0))&gt;=20,20,"")</f>
        <v>20</v>
      </c>
      <c r="V6" s="44">
        <f>IF(DAY(EOMONTH(DATE(CONFIGURACIÓN!$B$4,9,1),0))&gt;=21,21,"")</f>
        <v>21</v>
      </c>
      <c r="W6" s="44">
        <f>IF(DAY(EOMONTH(DATE(CONFIGURACIÓN!$B$4,9,1),0))&gt;=22,22,"")</f>
        <v>22</v>
      </c>
      <c r="X6" s="44">
        <f>IF(DAY(EOMONTH(DATE(CONFIGURACIÓN!$B$4,9,1),0))&gt;=23,23,"")</f>
        <v>23</v>
      </c>
      <c r="Y6" s="44">
        <f>IF(DAY(EOMONTH(DATE(CONFIGURACIÓN!$B$4,9,1),0))&gt;=24,24,"")</f>
        <v>24</v>
      </c>
      <c r="Z6" s="44">
        <f>IF(DAY(EOMONTH(DATE(CONFIGURACIÓN!$B$4,9,1),0))&gt;=25,25,"")</f>
        <v>25</v>
      </c>
      <c r="AA6" s="44">
        <f>IF(DAY(EOMONTH(DATE(CONFIGURACIÓN!$B$4,9,1),0))&gt;=26,26,"")</f>
        <v>26</v>
      </c>
      <c r="AB6" s="44">
        <f>IF(DAY(EOMONTH(DATE(CONFIGURACIÓN!$B$4,9,1),0))&gt;=27,27,"")</f>
        <v>27</v>
      </c>
      <c r="AC6" s="44">
        <f>IF(DAY(EOMONTH(DATE(CONFIGURACIÓN!$B$4,9,1),0))&gt;=28,28,"")</f>
        <v>28</v>
      </c>
      <c r="AD6" s="44">
        <f>IF(DAY(EOMONTH(DATE(CONFIGURACIÓN!$B$4,9,1),0))&gt;=29,29,"")</f>
        <v>29</v>
      </c>
      <c r="AE6" s="44">
        <f>IF(DAY(EOMONTH(DATE(CONFIGURACIÓN!$B$4,9,1),0))&gt;=30,30,"")</f>
        <v>30</v>
      </c>
      <c r="AF6" s="44" t="str">
        <f>IF(DAY(EOMONTH(DATE(CONFIGURACIÓN!$B$4,9,1),0))&gt;=31,31,"")</f>
        <v/>
      </c>
    </row>
    <row r="7" spans="1:39" ht="21.95" customHeight="1">
      <c r="A7" s="112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13" t="s">
        <v>64</v>
      </c>
      <c r="B16" s="113"/>
      <c r="C16" s="113"/>
      <c r="D16" s="113"/>
      <c r="E16" s="113"/>
      <c r="F16" s="113"/>
      <c r="G16" s="113"/>
      <c r="H16" s="113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45" t="s">
        <v>47</v>
      </c>
      <c r="B17" s="45" t="s">
        <v>15</v>
      </c>
      <c r="C17" s="45" t="s">
        <v>66</v>
      </c>
      <c r="D17" s="45" t="s">
        <v>67</v>
      </c>
      <c r="E17" s="45" t="s">
        <v>68</v>
      </c>
      <c r="F17" s="45" t="s">
        <v>69</v>
      </c>
      <c r="G17" s="45" t="s">
        <v>61</v>
      </c>
      <c r="H17" s="45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46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46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46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46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46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46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</row>
    <row r="26" spans="1:32" ht="24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203" priority="1" operator="equal">
      <formula>"D"</formula>
    </cfRule>
    <cfRule type="cellIs" dxfId="202" priority="2" operator="equal">
      <formula>"S"</formula>
    </cfRule>
  </conditionalFormatting>
  <conditionalFormatting sqref="B8:AF13">
    <cfRule type="expression" dxfId="201" priority="3">
      <formula>AND(B8=$AG$1,$AG$2="VERDE")</formula>
    </cfRule>
    <cfRule type="expression" dxfId="200" priority="4">
      <formula>AND(B8=$AG$1,$AG$2="AZUL")</formula>
    </cfRule>
    <cfRule type="expression" dxfId="199" priority="5">
      <formula>AND(B8=$AG$1,$AG$2="TURQUESA")</formula>
    </cfRule>
    <cfRule type="expression" dxfId="198" priority="6">
      <formula>AND(B8=$AG$1,$AG$2="ROJO")</formula>
    </cfRule>
    <cfRule type="expression" dxfId="197" priority="7">
      <formula>AND(B8=$AG$1,$AG$2="VERDE CLARO")</formula>
    </cfRule>
    <cfRule type="expression" dxfId="196" priority="8">
      <formula>AND(B8=$AG$1,$AG$2="NARANJA")</formula>
    </cfRule>
    <cfRule type="expression" dxfId="195" priority="9">
      <formula>AND(B8=$AG$1,$AG$2="GRIS")</formula>
    </cfRule>
    <cfRule type="expression" dxfId="194" priority="10">
      <formula>AND(B8=$AH$1,$AH$2="VERDE")</formula>
    </cfRule>
    <cfRule type="expression" dxfId="193" priority="11">
      <formula>AND(B8=$AH$1,$AH$2="AZUL")</formula>
    </cfRule>
    <cfRule type="expression" dxfId="192" priority="12">
      <formula>AND(B8=$AH$1,$AH$2="TURQUESA")</formula>
    </cfRule>
    <cfRule type="expression" dxfId="191" priority="13">
      <formula>AND(B8=$AH$1,$AH$2="ROJO")</formula>
    </cfRule>
    <cfRule type="expression" dxfId="190" priority="14">
      <formula>AND(B8=$AH$1,$AH$2="VERDE CLARO")</formula>
    </cfRule>
    <cfRule type="expression" dxfId="189" priority="15">
      <formula>AND(B8=$AH$1,$AH$2="NARANJA")</formula>
    </cfRule>
    <cfRule type="expression" dxfId="188" priority="16">
      <formula>AND(B8=$AH$1,$AH$2="GRIS")</formula>
    </cfRule>
    <cfRule type="expression" dxfId="187" priority="17">
      <formula>AND(B8=$AI$1,$AI$2="VERDE")</formula>
    </cfRule>
    <cfRule type="expression" dxfId="186" priority="18">
      <formula>AND(B8=$AI$1,$AI$2="AZUL")</formula>
    </cfRule>
    <cfRule type="expression" dxfId="185" priority="19">
      <formula>AND(B8=$AI$1,$AI$2="TURQUESA")</formula>
    </cfRule>
    <cfRule type="expression" dxfId="184" priority="20">
      <formula>AND(B8=$AI$1,$AI$2="ROJO")</formula>
    </cfRule>
    <cfRule type="expression" dxfId="183" priority="21">
      <formula>AND(B8=$AI$1,$AI$2="VERDE CLARO")</formula>
    </cfRule>
    <cfRule type="expression" dxfId="182" priority="22">
      <formula>AND(B8=$AI$1,$AI$2="NARANJA")</formula>
    </cfRule>
    <cfRule type="expression" dxfId="181" priority="23">
      <formula>AND(B8=$AI$1,$AI$2="GRIS")</formula>
    </cfRule>
    <cfRule type="expression" dxfId="180" priority="24">
      <formula>AND(B8=$AJ$1,$AJ$2="VERDE")</formula>
    </cfRule>
    <cfRule type="expression" dxfId="179" priority="25">
      <formula>AND(B8=$AJ$1,$AJ$2="AZUL")</formula>
    </cfRule>
    <cfRule type="expression" dxfId="178" priority="26">
      <formula>AND(B8=$AJ$1,$AJ$2="TURQUESA")</formula>
    </cfRule>
    <cfRule type="expression" dxfId="177" priority="27">
      <formula>AND(B8=$AJ$1,$AJ$2="ROJO")</formula>
    </cfRule>
    <cfRule type="expression" dxfId="176" priority="28">
      <formula>AND(B8=$AJ$1,$AJ$2="VERDE CLARO")</formula>
    </cfRule>
    <cfRule type="expression" dxfId="175" priority="29">
      <formula>AND(B8=$AJ$1,$AJ$2="NARANJA")</formula>
    </cfRule>
    <cfRule type="expression" dxfId="174" priority="30">
      <formula>AND(B8=$AJ$1,$AJ$2="GRIS")</formula>
    </cfRule>
    <cfRule type="expression" dxfId="173" priority="31">
      <formula>AND(B8=$AK$1,$AK$2="VERDE")</formula>
    </cfRule>
    <cfRule type="expression" dxfId="172" priority="32">
      <formula>AND(B8=$AK$1,$AK$2="AZUL")</formula>
    </cfRule>
    <cfRule type="expression" dxfId="171" priority="33">
      <formula>AND(B8=$AK$1,$AK$2="TURQUESA")</formula>
    </cfRule>
    <cfRule type="expression" dxfId="170" priority="34">
      <formula>AND(B8=$AK$1,$AK$2="ROJO")</formula>
    </cfRule>
    <cfRule type="expression" dxfId="169" priority="35">
      <formula>AND(B8=$AK$1,$AK$2="VERDE CLARO")</formula>
    </cfRule>
    <cfRule type="expression" dxfId="168" priority="36">
      <formula>AND(B8=$AK$1,$AK$2="NARANJA")</formula>
    </cfRule>
    <cfRule type="expression" dxfId="167" priority="37">
      <formula>AND(B8=$AK$1,$AK$2="GRIS")</formula>
    </cfRule>
    <cfRule type="expression" dxfId="166" priority="38">
      <formula>AND(B8=$AL$1,$AL$2="VERDE")</formula>
    </cfRule>
    <cfRule type="expression" dxfId="165" priority="39">
      <formula>AND(B8=$AL$1,$AL$2="AZUL")</formula>
    </cfRule>
    <cfRule type="expression" dxfId="164" priority="40">
      <formula>AND(B8=$AL$1,$AL$2="TURQUESA")</formula>
    </cfRule>
    <cfRule type="expression" dxfId="163" priority="41">
      <formula>AND(B8=$AL$1,$AL$2="ROJO")</formula>
    </cfRule>
    <cfRule type="expression" dxfId="162" priority="42">
      <formula>AND(B8=$AL$1,$AL$2="VERDE CLARO")</formula>
    </cfRule>
    <cfRule type="expression" dxfId="161" priority="43">
      <formula>AND(B8=$AL$1,$AL$2="NARANJA")</formula>
    </cfRule>
    <cfRule type="expression" dxfId="160" priority="44">
      <formula>AND(B8=$AL$1,$AL$2="GRIS")</formula>
    </cfRule>
    <cfRule type="expression" dxfId="159" priority="45">
      <formula>AND(B8=$AM$1,$AM$2="VERDE")</formula>
    </cfRule>
    <cfRule type="expression" dxfId="158" priority="46">
      <formula>AND(B8=$AM$1,$AM$2="AZUL")</formula>
    </cfRule>
    <cfRule type="expression" dxfId="157" priority="47">
      <formula>AND(B8=$AM$1,$AM$2="TURQUESA")</formula>
    </cfRule>
    <cfRule type="expression" dxfId="156" priority="48">
      <formula>AND(B8=$AM$1,$AM$2="ROJO")</formula>
    </cfRule>
    <cfRule type="expression" dxfId="155" priority="49">
      <formula>AND(B8=$AM$1,$AM$2="VERDE CLARO")</formula>
    </cfRule>
    <cfRule type="expression" dxfId="154" priority="50">
      <formula>AND(B8=$AM$1,$AM$2="NARANJA")</formula>
    </cfRule>
    <cfRule type="expression" dxfId="153" priority="51">
      <formula>AND(B8=$AM$1,$AM$2="GRIS")</formula>
    </cfRule>
  </conditionalFormatting>
  <dataValidations count="1">
    <dataValidation type="list" sqref="B8:AF13" xr:uid="{00000000-0002-0000-0A00-000000000000}">
      <formula1>$AG$1:$AM$1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15" t="s">
        <v>62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16" t="str">
        <f>"OCTUBRE "&amp;CONFIGURACIÓN!B4&amp;" · "&amp;CONFIGURACIÓN!B5</f>
        <v>OCTUBRE 2026 · CENTRO DE TRABAJO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17" t="s">
        <v>63</v>
      </c>
      <c r="B5" s="47" t="str">
        <f>IF(DAY(EOMONTH(DATE(CONFIGURACIÓN!$B$4,10,1),0))&gt;=1,CHOOSE(WEEKDAY(DATE(CONFIGURACIÓN!$B$4,10,1),2),"L","M","X","J","V","S","D"),"")</f>
        <v>J</v>
      </c>
      <c r="C5" s="47" t="str">
        <f>IF(DAY(EOMONTH(DATE(CONFIGURACIÓN!$B$4,10,1),0))&gt;=2,CHOOSE(WEEKDAY(DATE(CONFIGURACIÓN!$B$4,10,2),2),"L","M","X","J","V","S","D"),"")</f>
        <v>V</v>
      </c>
      <c r="D5" s="47" t="str">
        <f>IF(DAY(EOMONTH(DATE(CONFIGURACIÓN!$B$4,10,1),0))&gt;=3,CHOOSE(WEEKDAY(DATE(CONFIGURACIÓN!$B$4,10,3),2),"L","M","X","J","V","S","D"),"")</f>
        <v>S</v>
      </c>
      <c r="E5" s="47" t="str">
        <f>IF(DAY(EOMONTH(DATE(CONFIGURACIÓN!$B$4,10,1),0))&gt;=4,CHOOSE(WEEKDAY(DATE(CONFIGURACIÓN!$B$4,10,4),2),"L","M","X","J","V","S","D"),"")</f>
        <v>D</v>
      </c>
      <c r="F5" s="47" t="str">
        <f>IF(DAY(EOMONTH(DATE(CONFIGURACIÓN!$B$4,10,1),0))&gt;=5,CHOOSE(WEEKDAY(DATE(CONFIGURACIÓN!$B$4,10,5),2),"L","M","X","J","V","S","D"),"")</f>
        <v>L</v>
      </c>
      <c r="G5" s="47" t="str">
        <f>IF(DAY(EOMONTH(DATE(CONFIGURACIÓN!$B$4,10,1),0))&gt;=6,CHOOSE(WEEKDAY(DATE(CONFIGURACIÓN!$B$4,10,6),2),"L","M","X","J","V","S","D"),"")</f>
        <v>M</v>
      </c>
      <c r="H5" s="47" t="str">
        <f>IF(DAY(EOMONTH(DATE(CONFIGURACIÓN!$B$4,10,1),0))&gt;=7,CHOOSE(WEEKDAY(DATE(CONFIGURACIÓN!$B$4,10,7),2),"L","M","X","J","V","S","D"),"")</f>
        <v>X</v>
      </c>
      <c r="I5" s="47" t="str">
        <f>IF(DAY(EOMONTH(DATE(CONFIGURACIÓN!$B$4,10,1),0))&gt;=8,CHOOSE(WEEKDAY(DATE(CONFIGURACIÓN!$B$4,10,8),2),"L","M","X","J","V","S","D"),"")</f>
        <v>J</v>
      </c>
      <c r="J5" s="47" t="str">
        <f>IF(DAY(EOMONTH(DATE(CONFIGURACIÓN!$B$4,10,1),0))&gt;=9,CHOOSE(WEEKDAY(DATE(CONFIGURACIÓN!$B$4,10,9),2),"L","M","X","J","V","S","D"),"")</f>
        <v>V</v>
      </c>
      <c r="K5" s="47" t="str">
        <f>IF(DAY(EOMONTH(DATE(CONFIGURACIÓN!$B$4,10,1),0))&gt;=10,CHOOSE(WEEKDAY(DATE(CONFIGURACIÓN!$B$4,10,10),2),"L","M","X","J","V","S","D"),"")</f>
        <v>S</v>
      </c>
      <c r="L5" s="47" t="str">
        <f>IF(DAY(EOMONTH(DATE(CONFIGURACIÓN!$B$4,10,1),0))&gt;=11,CHOOSE(WEEKDAY(DATE(CONFIGURACIÓN!$B$4,10,11),2),"L","M","X","J","V","S","D"),"")</f>
        <v>D</v>
      </c>
      <c r="M5" s="47" t="str">
        <f>IF(DAY(EOMONTH(DATE(CONFIGURACIÓN!$B$4,10,1),0))&gt;=12,CHOOSE(WEEKDAY(DATE(CONFIGURACIÓN!$B$4,10,12),2),"L","M","X","J","V","S","D"),"")</f>
        <v>L</v>
      </c>
      <c r="N5" s="47" t="str">
        <f>IF(DAY(EOMONTH(DATE(CONFIGURACIÓN!$B$4,10,1),0))&gt;=13,CHOOSE(WEEKDAY(DATE(CONFIGURACIÓN!$B$4,10,13),2),"L","M","X","J","V","S","D"),"")</f>
        <v>M</v>
      </c>
      <c r="O5" s="47" t="str">
        <f>IF(DAY(EOMONTH(DATE(CONFIGURACIÓN!$B$4,10,1),0))&gt;=14,CHOOSE(WEEKDAY(DATE(CONFIGURACIÓN!$B$4,10,14),2),"L","M","X","J","V","S","D"),"")</f>
        <v>X</v>
      </c>
      <c r="P5" s="47" t="str">
        <f>IF(DAY(EOMONTH(DATE(CONFIGURACIÓN!$B$4,10,1),0))&gt;=15,CHOOSE(WEEKDAY(DATE(CONFIGURACIÓN!$B$4,10,15),2),"L","M","X","J","V","S","D"),"")</f>
        <v>J</v>
      </c>
      <c r="Q5" s="47" t="str">
        <f>IF(DAY(EOMONTH(DATE(CONFIGURACIÓN!$B$4,10,1),0))&gt;=16,CHOOSE(WEEKDAY(DATE(CONFIGURACIÓN!$B$4,10,16),2),"L","M","X","J","V","S","D"),"")</f>
        <v>V</v>
      </c>
      <c r="R5" s="47" t="str">
        <f>IF(DAY(EOMONTH(DATE(CONFIGURACIÓN!$B$4,10,1),0))&gt;=17,CHOOSE(WEEKDAY(DATE(CONFIGURACIÓN!$B$4,10,17),2),"L","M","X","J","V","S","D"),"")</f>
        <v>S</v>
      </c>
      <c r="S5" s="47" t="str">
        <f>IF(DAY(EOMONTH(DATE(CONFIGURACIÓN!$B$4,10,1),0))&gt;=18,CHOOSE(WEEKDAY(DATE(CONFIGURACIÓN!$B$4,10,18),2),"L","M","X","J","V","S","D"),"")</f>
        <v>D</v>
      </c>
      <c r="T5" s="47" t="str">
        <f>IF(DAY(EOMONTH(DATE(CONFIGURACIÓN!$B$4,10,1),0))&gt;=19,CHOOSE(WEEKDAY(DATE(CONFIGURACIÓN!$B$4,10,19),2),"L","M","X","J","V","S","D"),"")</f>
        <v>L</v>
      </c>
      <c r="U5" s="47" t="str">
        <f>IF(DAY(EOMONTH(DATE(CONFIGURACIÓN!$B$4,10,1),0))&gt;=20,CHOOSE(WEEKDAY(DATE(CONFIGURACIÓN!$B$4,10,20),2),"L","M","X","J","V","S","D"),"")</f>
        <v>M</v>
      </c>
      <c r="V5" s="47" t="str">
        <f>IF(DAY(EOMONTH(DATE(CONFIGURACIÓN!$B$4,10,1),0))&gt;=21,CHOOSE(WEEKDAY(DATE(CONFIGURACIÓN!$B$4,10,21),2),"L","M","X","J","V","S","D"),"")</f>
        <v>X</v>
      </c>
      <c r="W5" s="47" t="str">
        <f>IF(DAY(EOMONTH(DATE(CONFIGURACIÓN!$B$4,10,1),0))&gt;=22,CHOOSE(WEEKDAY(DATE(CONFIGURACIÓN!$B$4,10,22),2),"L","M","X","J","V","S","D"),"")</f>
        <v>J</v>
      </c>
      <c r="X5" s="47" t="str">
        <f>IF(DAY(EOMONTH(DATE(CONFIGURACIÓN!$B$4,10,1),0))&gt;=23,CHOOSE(WEEKDAY(DATE(CONFIGURACIÓN!$B$4,10,23),2),"L","M","X","J","V","S","D"),"")</f>
        <v>V</v>
      </c>
      <c r="Y5" s="47" t="str">
        <f>IF(DAY(EOMONTH(DATE(CONFIGURACIÓN!$B$4,10,1),0))&gt;=24,CHOOSE(WEEKDAY(DATE(CONFIGURACIÓN!$B$4,10,24),2),"L","M","X","J","V","S","D"),"")</f>
        <v>S</v>
      </c>
      <c r="Z5" s="47" t="str">
        <f>IF(DAY(EOMONTH(DATE(CONFIGURACIÓN!$B$4,10,1),0))&gt;=25,CHOOSE(WEEKDAY(DATE(CONFIGURACIÓN!$B$4,10,25),2),"L","M","X","J","V","S","D"),"")</f>
        <v>D</v>
      </c>
      <c r="AA5" s="47" t="str">
        <f>IF(DAY(EOMONTH(DATE(CONFIGURACIÓN!$B$4,10,1),0))&gt;=26,CHOOSE(WEEKDAY(DATE(CONFIGURACIÓN!$B$4,10,26),2),"L","M","X","J","V","S","D"),"")</f>
        <v>L</v>
      </c>
      <c r="AB5" s="47" t="str">
        <f>IF(DAY(EOMONTH(DATE(CONFIGURACIÓN!$B$4,10,1),0))&gt;=27,CHOOSE(WEEKDAY(DATE(CONFIGURACIÓN!$B$4,10,27),2),"L","M","X","J","V","S","D"),"")</f>
        <v>M</v>
      </c>
      <c r="AC5" s="47" t="str">
        <f>IF(DAY(EOMONTH(DATE(CONFIGURACIÓN!$B$4,10,1),0))&gt;=28,CHOOSE(WEEKDAY(DATE(CONFIGURACIÓN!$B$4,10,28),2),"L","M","X","J","V","S","D"),"")</f>
        <v>X</v>
      </c>
      <c r="AD5" s="47" t="str">
        <f>IF(DAY(EOMONTH(DATE(CONFIGURACIÓN!$B$4,10,1),0))&gt;=29,CHOOSE(WEEKDAY(DATE(CONFIGURACIÓN!$B$4,10,29),2),"L","M","X","J","V","S","D"),"")</f>
        <v>J</v>
      </c>
      <c r="AE5" s="47" t="str">
        <f>IF(DAY(EOMONTH(DATE(CONFIGURACIÓN!$B$4,10,1),0))&gt;=30,CHOOSE(WEEKDAY(DATE(CONFIGURACIÓN!$B$4,10,30),2),"L","M","X","J","V","S","D"),"")</f>
        <v>V</v>
      </c>
      <c r="AF5" s="47" t="str">
        <f>IF(DAY(EOMONTH(DATE(CONFIGURACIÓN!$B$4,10,1),0))&gt;=31,CHOOSE(WEEKDAY(DATE(CONFIGURACIÓN!$B$4,10,31),2),"L","M","X","J","V","S","D"),"")</f>
        <v>S</v>
      </c>
    </row>
    <row r="6" spans="1:39" ht="21.95" customHeight="1">
      <c r="A6" s="117"/>
      <c r="B6" s="47">
        <f>IF(DAY(EOMONTH(DATE(CONFIGURACIÓN!$B$4,10,1),0))&gt;=1,1,"")</f>
        <v>1</v>
      </c>
      <c r="C6" s="47">
        <f>IF(DAY(EOMONTH(DATE(CONFIGURACIÓN!$B$4,10,1),0))&gt;=2,2,"")</f>
        <v>2</v>
      </c>
      <c r="D6" s="47">
        <f>IF(DAY(EOMONTH(DATE(CONFIGURACIÓN!$B$4,10,1),0))&gt;=3,3,"")</f>
        <v>3</v>
      </c>
      <c r="E6" s="47">
        <f>IF(DAY(EOMONTH(DATE(CONFIGURACIÓN!$B$4,10,1),0))&gt;=4,4,"")</f>
        <v>4</v>
      </c>
      <c r="F6" s="47">
        <f>IF(DAY(EOMONTH(DATE(CONFIGURACIÓN!$B$4,10,1),0))&gt;=5,5,"")</f>
        <v>5</v>
      </c>
      <c r="G6" s="47">
        <f>IF(DAY(EOMONTH(DATE(CONFIGURACIÓN!$B$4,10,1),0))&gt;=6,6,"")</f>
        <v>6</v>
      </c>
      <c r="H6" s="47">
        <f>IF(DAY(EOMONTH(DATE(CONFIGURACIÓN!$B$4,10,1),0))&gt;=7,7,"")</f>
        <v>7</v>
      </c>
      <c r="I6" s="47">
        <f>IF(DAY(EOMONTH(DATE(CONFIGURACIÓN!$B$4,10,1),0))&gt;=8,8,"")</f>
        <v>8</v>
      </c>
      <c r="J6" s="47">
        <f>IF(DAY(EOMONTH(DATE(CONFIGURACIÓN!$B$4,10,1),0))&gt;=9,9,"")</f>
        <v>9</v>
      </c>
      <c r="K6" s="47">
        <f>IF(DAY(EOMONTH(DATE(CONFIGURACIÓN!$B$4,10,1),0))&gt;=10,10,"")</f>
        <v>10</v>
      </c>
      <c r="L6" s="47">
        <f>IF(DAY(EOMONTH(DATE(CONFIGURACIÓN!$B$4,10,1),0))&gt;=11,11,"")</f>
        <v>11</v>
      </c>
      <c r="M6" s="47">
        <f>IF(DAY(EOMONTH(DATE(CONFIGURACIÓN!$B$4,10,1),0))&gt;=12,12,"")</f>
        <v>12</v>
      </c>
      <c r="N6" s="47">
        <f>IF(DAY(EOMONTH(DATE(CONFIGURACIÓN!$B$4,10,1),0))&gt;=13,13,"")</f>
        <v>13</v>
      </c>
      <c r="O6" s="47">
        <f>IF(DAY(EOMONTH(DATE(CONFIGURACIÓN!$B$4,10,1),0))&gt;=14,14,"")</f>
        <v>14</v>
      </c>
      <c r="P6" s="47">
        <f>IF(DAY(EOMONTH(DATE(CONFIGURACIÓN!$B$4,10,1),0))&gt;=15,15,"")</f>
        <v>15</v>
      </c>
      <c r="Q6" s="47">
        <f>IF(DAY(EOMONTH(DATE(CONFIGURACIÓN!$B$4,10,1),0))&gt;=16,16,"")</f>
        <v>16</v>
      </c>
      <c r="R6" s="47">
        <f>IF(DAY(EOMONTH(DATE(CONFIGURACIÓN!$B$4,10,1),0))&gt;=17,17,"")</f>
        <v>17</v>
      </c>
      <c r="S6" s="47">
        <f>IF(DAY(EOMONTH(DATE(CONFIGURACIÓN!$B$4,10,1),0))&gt;=18,18,"")</f>
        <v>18</v>
      </c>
      <c r="T6" s="47">
        <f>IF(DAY(EOMONTH(DATE(CONFIGURACIÓN!$B$4,10,1),0))&gt;=19,19,"")</f>
        <v>19</v>
      </c>
      <c r="U6" s="47">
        <f>IF(DAY(EOMONTH(DATE(CONFIGURACIÓN!$B$4,10,1),0))&gt;=20,20,"")</f>
        <v>20</v>
      </c>
      <c r="V6" s="47">
        <f>IF(DAY(EOMONTH(DATE(CONFIGURACIÓN!$B$4,10,1),0))&gt;=21,21,"")</f>
        <v>21</v>
      </c>
      <c r="W6" s="47">
        <f>IF(DAY(EOMONTH(DATE(CONFIGURACIÓN!$B$4,10,1),0))&gt;=22,22,"")</f>
        <v>22</v>
      </c>
      <c r="X6" s="47">
        <f>IF(DAY(EOMONTH(DATE(CONFIGURACIÓN!$B$4,10,1),0))&gt;=23,23,"")</f>
        <v>23</v>
      </c>
      <c r="Y6" s="47">
        <f>IF(DAY(EOMONTH(DATE(CONFIGURACIÓN!$B$4,10,1),0))&gt;=24,24,"")</f>
        <v>24</v>
      </c>
      <c r="Z6" s="47">
        <f>IF(DAY(EOMONTH(DATE(CONFIGURACIÓN!$B$4,10,1),0))&gt;=25,25,"")</f>
        <v>25</v>
      </c>
      <c r="AA6" s="47">
        <f>IF(DAY(EOMONTH(DATE(CONFIGURACIÓN!$B$4,10,1),0))&gt;=26,26,"")</f>
        <v>26</v>
      </c>
      <c r="AB6" s="47">
        <f>IF(DAY(EOMONTH(DATE(CONFIGURACIÓN!$B$4,10,1),0))&gt;=27,27,"")</f>
        <v>27</v>
      </c>
      <c r="AC6" s="47">
        <f>IF(DAY(EOMONTH(DATE(CONFIGURACIÓN!$B$4,10,1),0))&gt;=28,28,"")</f>
        <v>28</v>
      </c>
      <c r="AD6" s="47">
        <f>IF(DAY(EOMONTH(DATE(CONFIGURACIÓN!$B$4,10,1),0))&gt;=29,29,"")</f>
        <v>29</v>
      </c>
      <c r="AE6" s="47">
        <f>IF(DAY(EOMONTH(DATE(CONFIGURACIÓN!$B$4,10,1),0))&gt;=30,30,"")</f>
        <v>30</v>
      </c>
      <c r="AF6" s="47">
        <f>IF(DAY(EOMONTH(DATE(CONFIGURACIÓN!$B$4,10,1),0))&gt;=31,31,"")</f>
        <v>31</v>
      </c>
    </row>
    <row r="7" spans="1:39" ht="21.95" customHeight="1">
      <c r="A7" s="11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18" t="s">
        <v>64</v>
      </c>
      <c r="B16" s="118"/>
      <c r="C16" s="118"/>
      <c r="D16" s="118"/>
      <c r="E16" s="118"/>
      <c r="F16" s="118"/>
      <c r="G16" s="118"/>
      <c r="H16" s="11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48" t="s">
        <v>47</v>
      </c>
      <c r="B17" s="48" t="s">
        <v>15</v>
      </c>
      <c r="C17" s="48" t="s">
        <v>66</v>
      </c>
      <c r="D17" s="48" t="s">
        <v>67</v>
      </c>
      <c r="E17" s="48" t="s">
        <v>68</v>
      </c>
      <c r="F17" s="48" t="s">
        <v>69</v>
      </c>
      <c r="G17" s="48" t="s">
        <v>61</v>
      </c>
      <c r="H17" s="48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49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49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49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49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49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49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" customHeight="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152" priority="1" operator="equal">
      <formula>"D"</formula>
    </cfRule>
    <cfRule type="cellIs" dxfId="151" priority="2" operator="equal">
      <formula>"S"</formula>
    </cfRule>
  </conditionalFormatting>
  <conditionalFormatting sqref="B8:AF13">
    <cfRule type="expression" dxfId="150" priority="3">
      <formula>AND(B8=$AG$1,$AG$2="VERDE")</formula>
    </cfRule>
    <cfRule type="expression" dxfId="149" priority="4">
      <formula>AND(B8=$AG$1,$AG$2="AZUL")</formula>
    </cfRule>
    <cfRule type="expression" dxfId="148" priority="5">
      <formula>AND(B8=$AG$1,$AG$2="TURQUESA")</formula>
    </cfRule>
    <cfRule type="expression" dxfId="147" priority="6">
      <formula>AND(B8=$AG$1,$AG$2="ROJO")</formula>
    </cfRule>
    <cfRule type="expression" dxfId="146" priority="7">
      <formula>AND(B8=$AG$1,$AG$2="VERDE CLARO")</formula>
    </cfRule>
    <cfRule type="expression" dxfId="145" priority="8">
      <formula>AND(B8=$AG$1,$AG$2="NARANJA")</formula>
    </cfRule>
    <cfRule type="expression" dxfId="144" priority="9">
      <formula>AND(B8=$AG$1,$AG$2="GRIS")</formula>
    </cfRule>
    <cfRule type="expression" dxfId="143" priority="10">
      <formula>AND(B8=$AH$1,$AH$2="VERDE")</formula>
    </cfRule>
    <cfRule type="expression" dxfId="142" priority="11">
      <formula>AND(B8=$AH$1,$AH$2="AZUL")</formula>
    </cfRule>
    <cfRule type="expression" dxfId="141" priority="12">
      <formula>AND(B8=$AH$1,$AH$2="TURQUESA")</formula>
    </cfRule>
    <cfRule type="expression" dxfId="140" priority="13">
      <formula>AND(B8=$AH$1,$AH$2="ROJO")</formula>
    </cfRule>
    <cfRule type="expression" dxfId="139" priority="14">
      <formula>AND(B8=$AH$1,$AH$2="VERDE CLARO")</formula>
    </cfRule>
    <cfRule type="expression" dxfId="138" priority="15">
      <formula>AND(B8=$AH$1,$AH$2="NARANJA")</formula>
    </cfRule>
    <cfRule type="expression" dxfId="137" priority="16">
      <formula>AND(B8=$AH$1,$AH$2="GRIS")</formula>
    </cfRule>
    <cfRule type="expression" dxfId="136" priority="17">
      <formula>AND(B8=$AI$1,$AI$2="VERDE")</formula>
    </cfRule>
    <cfRule type="expression" dxfId="135" priority="18">
      <formula>AND(B8=$AI$1,$AI$2="AZUL")</formula>
    </cfRule>
    <cfRule type="expression" dxfId="134" priority="19">
      <formula>AND(B8=$AI$1,$AI$2="TURQUESA")</formula>
    </cfRule>
    <cfRule type="expression" dxfId="133" priority="20">
      <formula>AND(B8=$AI$1,$AI$2="ROJO")</formula>
    </cfRule>
    <cfRule type="expression" dxfId="132" priority="21">
      <formula>AND(B8=$AI$1,$AI$2="VERDE CLARO")</formula>
    </cfRule>
    <cfRule type="expression" dxfId="131" priority="22">
      <formula>AND(B8=$AI$1,$AI$2="NARANJA")</formula>
    </cfRule>
    <cfRule type="expression" dxfId="130" priority="23">
      <formula>AND(B8=$AI$1,$AI$2="GRIS")</formula>
    </cfRule>
    <cfRule type="expression" dxfId="129" priority="24">
      <formula>AND(B8=$AJ$1,$AJ$2="VERDE")</formula>
    </cfRule>
    <cfRule type="expression" dxfId="128" priority="25">
      <formula>AND(B8=$AJ$1,$AJ$2="AZUL")</formula>
    </cfRule>
    <cfRule type="expression" dxfId="127" priority="26">
      <formula>AND(B8=$AJ$1,$AJ$2="TURQUESA")</formula>
    </cfRule>
    <cfRule type="expression" dxfId="126" priority="27">
      <formula>AND(B8=$AJ$1,$AJ$2="ROJO")</formula>
    </cfRule>
    <cfRule type="expression" dxfId="125" priority="28">
      <formula>AND(B8=$AJ$1,$AJ$2="VERDE CLARO")</formula>
    </cfRule>
    <cfRule type="expression" dxfId="124" priority="29">
      <formula>AND(B8=$AJ$1,$AJ$2="NARANJA")</formula>
    </cfRule>
    <cfRule type="expression" dxfId="123" priority="30">
      <formula>AND(B8=$AJ$1,$AJ$2="GRIS")</formula>
    </cfRule>
    <cfRule type="expression" dxfId="122" priority="31">
      <formula>AND(B8=$AK$1,$AK$2="VERDE")</formula>
    </cfRule>
    <cfRule type="expression" dxfId="121" priority="32">
      <formula>AND(B8=$AK$1,$AK$2="AZUL")</formula>
    </cfRule>
    <cfRule type="expression" dxfId="120" priority="33">
      <formula>AND(B8=$AK$1,$AK$2="TURQUESA")</formula>
    </cfRule>
    <cfRule type="expression" dxfId="119" priority="34">
      <formula>AND(B8=$AK$1,$AK$2="ROJO")</formula>
    </cfRule>
    <cfRule type="expression" dxfId="118" priority="35">
      <formula>AND(B8=$AK$1,$AK$2="VERDE CLARO")</formula>
    </cfRule>
    <cfRule type="expression" dxfId="117" priority="36">
      <formula>AND(B8=$AK$1,$AK$2="NARANJA")</formula>
    </cfRule>
    <cfRule type="expression" dxfId="116" priority="37">
      <formula>AND(B8=$AK$1,$AK$2="GRIS")</formula>
    </cfRule>
    <cfRule type="expression" dxfId="115" priority="38">
      <formula>AND(B8=$AL$1,$AL$2="VERDE")</formula>
    </cfRule>
    <cfRule type="expression" dxfId="114" priority="39">
      <formula>AND(B8=$AL$1,$AL$2="AZUL")</formula>
    </cfRule>
    <cfRule type="expression" dxfId="113" priority="40">
      <formula>AND(B8=$AL$1,$AL$2="TURQUESA")</formula>
    </cfRule>
    <cfRule type="expression" dxfId="112" priority="41">
      <formula>AND(B8=$AL$1,$AL$2="ROJO")</formula>
    </cfRule>
    <cfRule type="expression" dxfId="111" priority="42">
      <formula>AND(B8=$AL$1,$AL$2="VERDE CLARO")</formula>
    </cfRule>
    <cfRule type="expression" dxfId="110" priority="43">
      <formula>AND(B8=$AL$1,$AL$2="NARANJA")</formula>
    </cfRule>
    <cfRule type="expression" dxfId="109" priority="44">
      <formula>AND(B8=$AL$1,$AL$2="GRIS")</formula>
    </cfRule>
    <cfRule type="expression" dxfId="108" priority="45">
      <formula>AND(B8=$AM$1,$AM$2="VERDE")</formula>
    </cfRule>
    <cfRule type="expression" dxfId="107" priority="46">
      <formula>AND(B8=$AM$1,$AM$2="AZUL")</formula>
    </cfRule>
    <cfRule type="expression" dxfId="106" priority="47">
      <formula>AND(B8=$AM$1,$AM$2="TURQUESA")</formula>
    </cfRule>
    <cfRule type="expression" dxfId="105" priority="48">
      <formula>AND(B8=$AM$1,$AM$2="ROJO")</formula>
    </cfRule>
    <cfRule type="expression" dxfId="104" priority="49">
      <formula>AND(B8=$AM$1,$AM$2="VERDE CLARO")</formula>
    </cfRule>
    <cfRule type="expression" dxfId="103" priority="50">
      <formula>AND(B8=$AM$1,$AM$2="NARANJA")</formula>
    </cfRule>
    <cfRule type="expression" dxfId="102" priority="51">
      <formula>AND(B8=$AM$1,$AM$2="GRIS")</formula>
    </cfRule>
  </conditionalFormatting>
  <dataValidations count="1">
    <dataValidation type="list" sqref="B8:AF13" xr:uid="{00000000-0002-0000-0B00-000000000000}">
      <formula1>$AG$1:$AM$1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20" t="s">
        <v>62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21" t="str">
        <f>"NOVIEMBRE "&amp;CONFIGURACIÓN!B4&amp;" · "&amp;CONFIGURACIÓN!B5</f>
        <v>NOVIEMBRE 2026 · CENTRO DE TRABAJO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22" t="s">
        <v>63</v>
      </c>
      <c r="B5" s="50" t="str">
        <f>IF(DAY(EOMONTH(DATE(CONFIGURACIÓN!$B$4,11,1),0))&gt;=1,CHOOSE(WEEKDAY(DATE(CONFIGURACIÓN!$B$4,11,1),2),"L","M","X","J","V","S","D"),"")</f>
        <v>D</v>
      </c>
      <c r="C5" s="50" t="str">
        <f>IF(DAY(EOMONTH(DATE(CONFIGURACIÓN!$B$4,11,1),0))&gt;=2,CHOOSE(WEEKDAY(DATE(CONFIGURACIÓN!$B$4,11,2),2),"L","M","X","J","V","S","D"),"")</f>
        <v>L</v>
      </c>
      <c r="D5" s="50" t="str">
        <f>IF(DAY(EOMONTH(DATE(CONFIGURACIÓN!$B$4,11,1),0))&gt;=3,CHOOSE(WEEKDAY(DATE(CONFIGURACIÓN!$B$4,11,3),2),"L","M","X","J","V","S","D"),"")</f>
        <v>M</v>
      </c>
      <c r="E5" s="50" t="str">
        <f>IF(DAY(EOMONTH(DATE(CONFIGURACIÓN!$B$4,11,1),0))&gt;=4,CHOOSE(WEEKDAY(DATE(CONFIGURACIÓN!$B$4,11,4),2),"L","M","X","J","V","S","D"),"")</f>
        <v>X</v>
      </c>
      <c r="F5" s="50" t="str">
        <f>IF(DAY(EOMONTH(DATE(CONFIGURACIÓN!$B$4,11,1),0))&gt;=5,CHOOSE(WEEKDAY(DATE(CONFIGURACIÓN!$B$4,11,5),2),"L","M","X","J","V","S","D"),"")</f>
        <v>J</v>
      </c>
      <c r="G5" s="50" t="str">
        <f>IF(DAY(EOMONTH(DATE(CONFIGURACIÓN!$B$4,11,1),0))&gt;=6,CHOOSE(WEEKDAY(DATE(CONFIGURACIÓN!$B$4,11,6),2),"L","M","X","J","V","S","D"),"")</f>
        <v>V</v>
      </c>
      <c r="H5" s="50" t="str">
        <f>IF(DAY(EOMONTH(DATE(CONFIGURACIÓN!$B$4,11,1),0))&gt;=7,CHOOSE(WEEKDAY(DATE(CONFIGURACIÓN!$B$4,11,7),2),"L","M","X","J","V","S","D"),"")</f>
        <v>S</v>
      </c>
      <c r="I5" s="50" t="str">
        <f>IF(DAY(EOMONTH(DATE(CONFIGURACIÓN!$B$4,11,1),0))&gt;=8,CHOOSE(WEEKDAY(DATE(CONFIGURACIÓN!$B$4,11,8),2),"L","M","X","J","V","S","D"),"")</f>
        <v>D</v>
      </c>
      <c r="J5" s="50" t="str">
        <f>IF(DAY(EOMONTH(DATE(CONFIGURACIÓN!$B$4,11,1),0))&gt;=9,CHOOSE(WEEKDAY(DATE(CONFIGURACIÓN!$B$4,11,9),2),"L","M","X","J","V","S","D"),"")</f>
        <v>L</v>
      </c>
      <c r="K5" s="50" t="str">
        <f>IF(DAY(EOMONTH(DATE(CONFIGURACIÓN!$B$4,11,1),0))&gt;=10,CHOOSE(WEEKDAY(DATE(CONFIGURACIÓN!$B$4,11,10),2),"L","M","X","J","V","S","D"),"")</f>
        <v>M</v>
      </c>
      <c r="L5" s="50" t="str">
        <f>IF(DAY(EOMONTH(DATE(CONFIGURACIÓN!$B$4,11,1),0))&gt;=11,CHOOSE(WEEKDAY(DATE(CONFIGURACIÓN!$B$4,11,11),2),"L","M","X","J","V","S","D"),"")</f>
        <v>X</v>
      </c>
      <c r="M5" s="50" t="str">
        <f>IF(DAY(EOMONTH(DATE(CONFIGURACIÓN!$B$4,11,1),0))&gt;=12,CHOOSE(WEEKDAY(DATE(CONFIGURACIÓN!$B$4,11,12),2),"L","M","X","J","V","S","D"),"")</f>
        <v>J</v>
      </c>
      <c r="N5" s="50" t="str">
        <f>IF(DAY(EOMONTH(DATE(CONFIGURACIÓN!$B$4,11,1),0))&gt;=13,CHOOSE(WEEKDAY(DATE(CONFIGURACIÓN!$B$4,11,13),2),"L","M","X","J","V","S","D"),"")</f>
        <v>V</v>
      </c>
      <c r="O5" s="50" t="str">
        <f>IF(DAY(EOMONTH(DATE(CONFIGURACIÓN!$B$4,11,1),0))&gt;=14,CHOOSE(WEEKDAY(DATE(CONFIGURACIÓN!$B$4,11,14),2),"L","M","X","J","V","S","D"),"")</f>
        <v>S</v>
      </c>
      <c r="P5" s="50" t="str">
        <f>IF(DAY(EOMONTH(DATE(CONFIGURACIÓN!$B$4,11,1),0))&gt;=15,CHOOSE(WEEKDAY(DATE(CONFIGURACIÓN!$B$4,11,15),2),"L","M","X","J","V","S","D"),"")</f>
        <v>D</v>
      </c>
      <c r="Q5" s="50" t="str">
        <f>IF(DAY(EOMONTH(DATE(CONFIGURACIÓN!$B$4,11,1),0))&gt;=16,CHOOSE(WEEKDAY(DATE(CONFIGURACIÓN!$B$4,11,16),2),"L","M","X","J","V","S","D"),"")</f>
        <v>L</v>
      </c>
      <c r="R5" s="50" t="str">
        <f>IF(DAY(EOMONTH(DATE(CONFIGURACIÓN!$B$4,11,1),0))&gt;=17,CHOOSE(WEEKDAY(DATE(CONFIGURACIÓN!$B$4,11,17),2),"L","M","X","J","V","S","D"),"")</f>
        <v>M</v>
      </c>
      <c r="S5" s="50" t="str">
        <f>IF(DAY(EOMONTH(DATE(CONFIGURACIÓN!$B$4,11,1),0))&gt;=18,CHOOSE(WEEKDAY(DATE(CONFIGURACIÓN!$B$4,11,18),2),"L","M","X","J","V","S","D"),"")</f>
        <v>X</v>
      </c>
      <c r="T5" s="50" t="str">
        <f>IF(DAY(EOMONTH(DATE(CONFIGURACIÓN!$B$4,11,1),0))&gt;=19,CHOOSE(WEEKDAY(DATE(CONFIGURACIÓN!$B$4,11,19),2),"L","M","X","J","V","S","D"),"")</f>
        <v>J</v>
      </c>
      <c r="U5" s="50" t="str">
        <f>IF(DAY(EOMONTH(DATE(CONFIGURACIÓN!$B$4,11,1),0))&gt;=20,CHOOSE(WEEKDAY(DATE(CONFIGURACIÓN!$B$4,11,20),2),"L","M","X","J","V","S","D"),"")</f>
        <v>V</v>
      </c>
      <c r="V5" s="50" t="str">
        <f>IF(DAY(EOMONTH(DATE(CONFIGURACIÓN!$B$4,11,1),0))&gt;=21,CHOOSE(WEEKDAY(DATE(CONFIGURACIÓN!$B$4,11,21),2),"L","M","X","J","V","S","D"),"")</f>
        <v>S</v>
      </c>
      <c r="W5" s="50" t="str">
        <f>IF(DAY(EOMONTH(DATE(CONFIGURACIÓN!$B$4,11,1),0))&gt;=22,CHOOSE(WEEKDAY(DATE(CONFIGURACIÓN!$B$4,11,22),2),"L","M","X","J","V","S","D"),"")</f>
        <v>D</v>
      </c>
      <c r="X5" s="50" t="str">
        <f>IF(DAY(EOMONTH(DATE(CONFIGURACIÓN!$B$4,11,1),0))&gt;=23,CHOOSE(WEEKDAY(DATE(CONFIGURACIÓN!$B$4,11,23),2),"L","M","X","J","V","S","D"),"")</f>
        <v>L</v>
      </c>
      <c r="Y5" s="50" t="str">
        <f>IF(DAY(EOMONTH(DATE(CONFIGURACIÓN!$B$4,11,1),0))&gt;=24,CHOOSE(WEEKDAY(DATE(CONFIGURACIÓN!$B$4,11,24),2),"L","M","X","J","V","S","D"),"")</f>
        <v>M</v>
      </c>
      <c r="Z5" s="50" t="str">
        <f>IF(DAY(EOMONTH(DATE(CONFIGURACIÓN!$B$4,11,1),0))&gt;=25,CHOOSE(WEEKDAY(DATE(CONFIGURACIÓN!$B$4,11,25),2),"L","M","X","J","V","S","D"),"")</f>
        <v>X</v>
      </c>
      <c r="AA5" s="50" t="str">
        <f>IF(DAY(EOMONTH(DATE(CONFIGURACIÓN!$B$4,11,1),0))&gt;=26,CHOOSE(WEEKDAY(DATE(CONFIGURACIÓN!$B$4,11,26),2),"L","M","X","J","V","S","D"),"")</f>
        <v>J</v>
      </c>
      <c r="AB5" s="50" t="str">
        <f>IF(DAY(EOMONTH(DATE(CONFIGURACIÓN!$B$4,11,1),0))&gt;=27,CHOOSE(WEEKDAY(DATE(CONFIGURACIÓN!$B$4,11,27),2),"L","M","X","J","V","S","D"),"")</f>
        <v>V</v>
      </c>
      <c r="AC5" s="50" t="str">
        <f>IF(DAY(EOMONTH(DATE(CONFIGURACIÓN!$B$4,11,1),0))&gt;=28,CHOOSE(WEEKDAY(DATE(CONFIGURACIÓN!$B$4,11,28),2),"L","M","X","J","V","S","D"),"")</f>
        <v>S</v>
      </c>
      <c r="AD5" s="50" t="str">
        <f>IF(DAY(EOMONTH(DATE(CONFIGURACIÓN!$B$4,11,1),0))&gt;=29,CHOOSE(WEEKDAY(DATE(CONFIGURACIÓN!$B$4,11,29),2),"L","M","X","J","V","S","D"),"")</f>
        <v>D</v>
      </c>
      <c r="AE5" s="50" t="str">
        <f>IF(DAY(EOMONTH(DATE(CONFIGURACIÓN!$B$4,11,1),0))&gt;=30,CHOOSE(WEEKDAY(DATE(CONFIGURACIÓN!$B$4,11,30),2),"L","M","X","J","V","S","D"),"")</f>
        <v>L</v>
      </c>
      <c r="AF5" s="50" t="str">
        <f>IF(DAY(EOMONTH(DATE(CONFIGURACIÓN!$B$4,11,1),0))&gt;=31,CHOOSE(WEEKDAY(DATE(CONFIGURACIÓN!$B$4,11,31),2),"L","M","X","J","V","S","D"),"")</f>
        <v/>
      </c>
    </row>
    <row r="6" spans="1:39" ht="21.95" customHeight="1">
      <c r="A6" s="122"/>
      <c r="B6" s="50">
        <f>IF(DAY(EOMONTH(DATE(CONFIGURACIÓN!$B$4,11,1),0))&gt;=1,1,"")</f>
        <v>1</v>
      </c>
      <c r="C6" s="50">
        <f>IF(DAY(EOMONTH(DATE(CONFIGURACIÓN!$B$4,11,1),0))&gt;=2,2,"")</f>
        <v>2</v>
      </c>
      <c r="D6" s="50">
        <f>IF(DAY(EOMONTH(DATE(CONFIGURACIÓN!$B$4,11,1),0))&gt;=3,3,"")</f>
        <v>3</v>
      </c>
      <c r="E6" s="50">
        <f>IF(DAY(EOMONTH(DATE(CONFIGURACIÓN!$B$4,11,1),0))&gt;=4,4,"")</f>
        <v>4</v>
      </c>
      <c r="F6" s="50">
        <f>IF(DAY(EOMONTH(DATE(CONFIGURACIÓN!$B$4,11,1),0))&gt;=5,5,"")</f>
        <v>5</v>
      </c>
      <c r="G6" s="50">
        <f>IF(DAY(EOMONTH(DATE(CONFIGURACIÓN!$B$4,11,1),0))&gt;=6,6,"")</f>
        <v>6</v>
      </c>
      <c r="H6" s="50">
        <f>IF(DAY(EOMONTH(DATE(CONFIGURACIÓN!$B$4,11,1),0))&gt;=7,7,"")</f>
        <v>7</v>
      </c>
      <c r="I6" s="50">
        <f>IF(DAY(EOMONTH(DATE(CONFIGURACIÓN!$B$4,11,1),0))&gt;=8,8,"")</f>
        <v>8</v>
      </c>
      <c r="J6" s="50">
        <f>IF(DAY(EOMONTH(DATE(CONFIGURACIÓN!$B$4,11,1),0))&gt;=9,9,"")</f>
        <v>9</v>
      </c>
      <c r="K6" s="50">
        <f>IF(DAY(EOMONTH(DATE(CONFIGURACIÓN!$B$4,11,1),0))&gt;=10,10,"")</f>
        <v>10</v>
      </c>
      <c r="L6" s="50">
        <f>IF(DAY(EOMONTH(DATE(CONFIGURACIÓN!$B$4,11,1),0))&gt;=11,11,"")</f>
        <v>11</v>
      </c>
      <c r="M6" s="50">
        <f>IF(DAY(EOMONTH(DATE(CONFIGURACIÓN!$B$4,11,1),0))&gt;=12,12,"")</f>
        <v>12</v>
      </c>
      <c r="N6" s="50">
        <f>IF(DAY(EOMONTH(DATE(CONFIGURACIÓN!$B$4,11,1),0))&gt;=13,13,"")</f>
        <v>13</v>
      </c>
      <c r="O6" s="50">
        <f>IF(DAY(EOMONTH(DATE(CONFIGURACIÓN!$B$4,11,1),0))&gt;=14,14,"")</f>
        <v>14</v>
      </c>
      <c r="P6" s="50">
        <f>IF(DAY(EOMONTH(DATE(CONFIGURACIÓN!$B$4,11,1),0))&gt;=15,15,"")</f>
        <v>15</v>
      </c>
      <c r="Q6" s="50">
        <f>IF(DAY(EOMONTH(DATE(CONFIGURACIÓN!$B$4,11,1),0))&gt;=16,16,"")</f>
        <v>16</v>
      </c>
      <c r="R6" s="50">
        <f>IF(DAY(EOMONTH(DATE(CONFIGURACIÓN!$B$4,11,1),0))&gt;=17,17,"")</f>
        <v>17</v>
      </c>
      <c r="S6" s="50">
        <f>IF(DAY(EOMONTH(DATE(CONFIGURACIÓN!$B$4,11,1),0))&gt;=18,18,"")</f>
        <v>18</v>
      </c>
      <c r="T6" s="50">
        <f>IF(DAY(EOMONTH(DATE(CONFIGURACIÓN!$B$4,11,1),0))&gt;=19,19,"")</f>
        <v>19</v>
      </c>
      <c r="U6" s="50">
        <f>IF(DAY(EOMONTH(DATE(CONFIGURACIÓN!$B$4,11,1),0))&gt;=20,20,"")</f>
        <v>20</v>
      </c>
      <c r="V6" s="50">
        <f>IF(DAY(EOMONTH(DATE(CONFIGURACIÓN!$B$4,11,1),0))&gt;=21,21,"")</f>
        <v>21</v>
      </c>
      <c r="W6" s="50">
        <f>IF(DAY(EOMONTH(DATE(CONFIGURACIÓN!$B$4,11,1),0))&gt;=22,22,"")</f>
        <v>22</v>
      </c>
      <c r="X6" s="50">
        <f>IF(DAY(EOMONTH(DATE(CONFIGURACIÓN!$B$4,11,1),0))&gt;=23,23,"")</f>
        <v>23</v>
      </c>
      <c r="Y6" s="50">
        <f>IF(DAY(EOMONTH(DATE(CONFIGURACIÓN!$B$4,11,1),0))&gt;=24,24,"")</f>
        <v>24</v>
      </c>
      <c r="Z6" s="50">
        <f>IF(DAY(EOMONTH(DATE(CONFIGURACIÓN!$B$4,11,1),0))&gt;=25,25,"")</f>
        <v>25</v>
      </c>
      <c r="AA6" s="50">
        <f>IF(DAY(EOMONTH(DATE(CONFIGURACIÓN!$B$4,11,1),0))&gt;=26,26,"")</f>
        <v>26</v>
      </c>
      <c r="AB6" s="50">
        <f>IF(DAY(EOMONTH(DATE(CONFIGURACIÓN!$B$4,11,1),0))&gt;=27,27,"")</f>
        <v>27</v>
      </c>
      <c r="AC6" s="50">
        <f>IF(DAY(EOMONTH(DATE(CONFIGURACIÓN!$B$4,11,1),0))&gt;=28,28,"")</f>
        <v>28</v>
      </c>
      <c r="AD6" s="50">
        <f>IF(DAY(EOMONTH(DATE(CONFIGURACIÓN!$B$4,11,1),0))&gt;=29,29,"")</f>
        <v>29</v>
      </c>
      <c r="AE6" s="50">
        <f>IF(DAY(EOMONTH(DATE(CONFIGURACIÓN!$B$4,11,1),0))&gt;=30,30,"")</f>
        <v>30</v>
      </c>
      <c r="AF6" s="50" t="str">
        <f>IF(DAY(EOMONTH(DATE(CONFIGURACIÓN!$B$4,11,1),0))&gt;=31,31,"")</f>
        <v/>
      </c>
    </row>
    <row r="7" spans="1:39" ht="21.95" customHeight="1">
      <c r="A7" s="122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23" t="s">
        <v>64</v>
      </c>
      <c r="B16" s="123"/>
      <c r="C16" s="123"/>
      <c r="D16" s="123"/>
      <c r="E16" s="123"/>
      <c r="F16" s="123"/>
      <c r="G16" s="123"/>
      <c r="H16" s="123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51" t="s">
        <v>47</v>
      </c>
      <c r="B17" s="51" t="s">
        <v>15</v>
      </c>
      <c r="C17" s="51" t="s">
        <v>66</v>
      </c>
      <c r="D17" s="51" t="s">
        <v>67</v>
      </c>
      <c r="E17" s="51" t="s">
        <v>68</v>
      </c>
      <c r="F17" s="51" t="s">
        <v>69</v>
      </c>
      <c r="G17" s="51" t="s">
        <v>61</v>
      </c>
      <c r="H17" s="51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52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52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52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52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52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52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24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101" priority="1" operator="equal">
      <formula>"D"</formula>
    </cfRule>
    <cfRule type="cellIs" dxfId="100" priority="2" operator="equal">
      <formula>"S"</formula>
    </cfRule>
  </conditionalFormatting>
  <conditionalFormatting sqref="B8:AF13">
    <cfRule type="expression" dxfId="99" priority="3">
      <formula>AND(B8=$AG$1,$AG$2="VERDE")</formula>
    </cfRule>
    <cfRule type="expression" dxfId="98" priority="4">
      <formula>AND(B8=$AG$1,$AG$2="AZUL")</formula>
    </cfRule>
    <cfRule type="expression" dxfId="97" priority="5">
      <formula>AND(B8=$AG$1,$AG$2="TURQUESA")</formula>
    </cfRule>
    <cfRule type="expression" dxfId="96" priority="6">
      <formula>AND(B8=$AG$1,$AG$2="ROJO")</formula>
    </cfRule>
    <cfRule type="expression" dxfId="95" priority="7">
      <formula>AND(B8=$AG$1,$AG$2="VERDE CLARO")</formula>
    </cfRule>
    <cfRule type="expression" dxfId="94" priority="8">
      <formula>AND(B8=$AG$1,$AG$2="NARANJA")</formula>
    </cfRule>
    <cfRule type="expression" dxfId="93" priority="9">
      <formula>AND(B8=$AG$1,$AG$2="GRIS")</formula>
    </cfRule>
    <cfRule type="expression" dxfId="92" priority="10">
      <formula>AND(B8=$AH$1,$AH$2="VERDE")</formula>
    </cfRule>
    <cfRule type="expression" dxfId="91" priority="11">
      <formula>AND(B8=$AH$1,$AH$2="AZUL")</formula>
    </cfRule>
    <cfRule type="expression" dxfId="90" priority="12">
      <formula>AND(B8=$AH$1,$AH$2="TURQUESA")</formula>
    </cfRule>
    <cfRule type="expression" dxfId="89" priority="13">
      <formula>AND(B8=$AH$1,$AH$2="ROJO")</formula>
    </cfRule>
    <cfRule type="expression" dxfId="88" priority="14">
      <formula>AND(B8=$AH$1,$AH$2="VERDE CLARO")</formula>
    </cfRule>
    <cfRule type="expression" dxfId="87" priority="15">
      <formula>AND(B8=$AH$1,$AH$2="NARANJA")</formula>
    </cfRule>
    <cfRule type="expression" dxfId="86" priority="16">
      <formula>AND(B8=$AH$1,$AH$2="GRIS")</formula>
    </cfRule>
    <cfRule type="expression" dxfId="85" priority="17">
      <formula>AND(B8=$AI$1,$AI$2="VERDE")</formula>
    </cfRule>
    <cfRule type="expression" dxfId="84" priority="18">
      <formula>AND(B8=$AI$1,$AI$2="AZUL")</formula>
    </cfRule>
    <cfRule type="expression" dxfId="83" priority="19">
      <formula>AND(B8=$AI$1,$AI$2="TURQUESA")</formula>
    </cfRule>
    <cfRule type="expression" dxfId="82" priority="20">
      <formula>AND(B8=$AI$1,$AI$2="ROJO")</formula>
    </cfRule>
    <cfRule type="expression" dxfId="81" priority="21">
      <formula>AND(B8=$AI$1,$AI$2="VERDE CLARO")</formula>
    </cfRule>
    <cfRule type="expression" dxfId="80" priority="22">
      <formula>AND(B8=$AI$1,$AI$2="NARANJA")</formula>
    </cfRule>
    <cfRule type="expression" dxfId="79" priority="23">
      <formula>AND(B8=$AI$1,$AI$2="GRIS")</formula>
    </cfRule>
    <cfRule type="expression" dxfId="78" priority="24">
      <formula>AND(B8=$AJ$1,$AJ$2="VERDE")</formula>
    </cfRule>
    <cfRule type="expression" dxfId="77" priority="25">
      <formula>AND(B8=$AJ$1,$AJ$2="AZUL")</formula>
    </cfRule>
    <cfRule type="expression" dxfId="76" priority="26">
      <formula>AND(B8=$AJ$1,$AJ$2="TURQUESA")</formula>
    </cfRule>
    <cfRule type="expression" dxfId="75" priority="27">
      <formula>AND(B8=$AJ$1,$AJ$2="ROJO")</formula>
    </cfRule>
    <cfRule type="expression" dxfId="74" priority="28">
      <formula>AND(B8=$AJ$1,$AJ$2="VERDE CLARO")</formula>
    </cfRule>
    <cfRule type="expression" dxfId="73" priority="29">
      <formula>AND(B8=$AJ$1,$AJ$2="NARANJA")</formula>
    </cfRule>
    <cfRule type="expression" dxfId="72" priority="30">
      <formula>AND(B8=$AJ$1,$AJ$2="GRIS")</formula>
    </cfRule>
    <cfRule type="expression" dxfId="71" priority="31">
      <formula>AND(B8=$AK$1,$AK$2="VERDE")</formula>
    </cfRule>
    <cfRule type="expression" dxfId="70" priority="32">
      <formula>AND(B8=$AK$1,$AK$2="AZUL")</formula>
    </cfRule>
    <cfRule type="expression" dxfId="69" priority="33">
      <formula>AND(B8=$AK$1,$AK$2="TURQUESA")</formula>
    </cfRule>
    <cfRule type="expression" dxfId="68" priority="34">
      <formula>AND(B8=$AK$1,$AK$2="ROJO")</formula>
    </cfRule>
    <cfRule type="expression" dxfId="67" priority="35">
      <formula>AND(B8=$AK$1,$AK$2="VERDE CLARO")</formula>
    </cfRule>
    <cfRule type="expression" dxfId="66" priority="36">
      <formula>AND(B8=$AK$1,$AK$2="NARANJA")</formula>
    </cfRule>
    <cfRule type="expression" dxfId="65" priority="37">
      <formula>AND(B8=$AK$1,$AK$2="GRIS")</formula>
    </cfRule>
    <cfRule type="expression" dxfId="64" priority="38">
      <formula>AND(B8=$AL$1,$AL$2="VERDE")</formula>
    </cfRule>
    <cfRule type="expression" dxfId="63" priority="39">
      <formula>AND(B8=$AL$1,$AL$2="AZUL")</formula>
    </cfRule>
    <cfRule type="expression" dxfId="62" priority="40">
      <formula>AND(B8=$AL$1,$AL$2="TURQUESA")</formula>
    </cfRule>
    <cfRule type="expression" dxfId="61" priority="41">
      <formula>AND(B8=$AL$1,$AL$2="ROJO")</formula>
    </cfRule>
    <cfRule type="expression" dxfId="60" priority="42">
      <formula>AND(B8=$AL$1,$AL$2="VERDE CLARO")</formula>
    </cfRule>
    <cfRule type="expression" dxfId="59" priority="43">
      <formula>AND(B8=$AL$1,$AL$2="NARANJA")</formula>
    </cfRule>
    <cfRule type="expression" dxfId="58" priority="44">
      <formula>AND(B8=$AL$1,$AL$2="GRIS")</formula>
    </cfRule>
    <cfRule type="expression" dxfId="57" priority="45">
      <formula>AND(B8=$AM$1,$AM$2="VERDE")</formula>
    </cfRule>
    <cfRule type="expression" dxfId="56" priority="46">
      <formula>AND(B8=$AM$1,$AM$2="AZUL")</formula>
    </cfRule>
    <cfRule type="expression" dxfId="55" priority="47">
      <formula>AND(B8=$AM$1,$AM$2="TURQUESA")</formula>
    </cfRule>
    <cfRule type="expression" dxfId="54" priority="48">
      <formula>AND(B8=$AM$1,$AM$2="ROJO")</formula>
    </cfRule>
    <cfRule type="expression" dxfId="53" priority="49">
      <formula>AND(B8=$AM$1,$AM$2="VERDE CLARO")</formula>
    </cfRule>
    <cfRule type="expression" dxfId="52" priority="50">
      <formula>AND(B8=$AM$1,$AM$2="NARANJA")</formula>
    </cfRule>
    <cfRule type="expression" dxfId="51" priority="51">
      <formula>AND(B8=$AM$1,$AM$2="GRIS")</formula>
    </cfRule>
  </conditionalFormatting>
  <dataValidations count="1">
    <dataValidation type="list" sqref="B8:AF13" xr:uid="{00000000-0002-0000-0C00-000000000000}">
      <formula1>$AG$1:$AM$1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25" t="s">
        <v>62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26" t="str">
        <f>"DICIEMBRE "&amp;CONFIGURACIÓN!B4&amp;" · "&amp;CONFIGURACIÓN!B5</f>
        <v>DICIEMBRE 2026 · CENTRO DE TRABAJO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27" t="s">
        <v>63</v>
      </c>
      <c r="B5" s="53" t="str">
        <f>IF(DAY(EOMONTH(DATE(CONFIGURACIÓN!$B$4,12,1),0))&gt;=1,CHOOSE(WEEKDAY(DATE(CONFIGURACIÓN!$B$4,12,1),2),"L","M","X","J","V","S","D"),"")</f>
        <v>M</v>
      </c>
      <c r="C5" s="53" t="str">
        <f>IF(DAY(EOMONTH(DATE(CONFIGURACIÓN!$B$4,12,1),0))&gt;=2,CHOOSE(WEEKDAY(DATE(CONFIGURACIÓN!$B$4,12,2),2),"L","M","X","J","V","S","D"),"")</f>
        <v>X</v>
      </c>
      <c r="D5" s="53" t="str">
        <f>IF(DAY(EOMONTH(DATE(CONFIGURACIÓN!$B$4,12,1),0))&gt;=3,CHOOSE(WEEKDAY(DATE(CONFIGURACIÓN!$B$4,12,3),2),"L","M","X","J","V","S","D"),"")</f>
        <v>J</v>
      </c>
      <c r="E5" s="53" t="str">
        <f>IF(DAY(EOMONTH(DATE(CONFIGURACIÓN!$B$4,12,1),0))&gt;=4,CHOOSE(WEEKDAY(DATE(CONFIGURACIÓN!$B$4,12,4),2),"L","M","X","J","V","S","D"),"")</f>
        <v>V</v>
      </c>
      <c r="F5" s="53" t="str">
        <f>IF(DAY(EOMONTH(DATE(CONFIGURACIÓN!$B$4,12,1),0))&gt;=5,CHOOSE(WEEKDAY(DATE(CONFIGURACIÓN!$B$4,12,5),2),"L","M","X","J","V","S","D"),"")</f>
        <v>S</v>
      </c>
      <c r="G5" s="53" t="str">
        <f>IF(DAY(EOMONTH(DATE(CONFIGURACIÓN!$B$4,12,1),0))&gt;=6,CHOOSE(WEEKDAY(DATE(CONFIGURACIÓN!$B$4,12,6),2),"L","M","X","J","V","S","D"),"")</f>
        <v>D</v>
      </c>
      <c r="H5" s="53" t="str">
        <f>IF(DAY(EOMONTH(DATE(CONFIGURACIÓN!$B$4,12,1),0))&gt;=7,CHOOSE(WEEKDAY(DATE(CONFIGURACIÓN!$B$4,12,7),2),"L","M","X","J","V","S","D"),"")</f>
        <v>L</v>
      </c>
      <c r="I5" s="53" t="str">
        <f>IF(DAY(EOMONTH(DATE(CONFIGURACIÓN!$B$4,12,1),0))&gt;=8,CHOOSE(WEEKDAY(DATE(CONFIGURACIÓN!$B$4,12,8),2),"L","M","X","J","V","S","D"),"")</f>
        <v>M</v>
      </c>
      <c r="J5" s="53" t="str">
        <f>IF(DAY(EOMONTH(DATE(CONFIGURACIÓN!$B$4,12,1),0))&gt;=9,CHOOSE(WEEKDAY(DATE(CONFIGURACIÓN!$B$4,12,9),2),"L","M","X","J","V","S","D"),"")</f>
        <v>X</v>
      </c>
      <c r="K5" s="53" t="str">
        <f>IF(DAY(EOMONTH(DATE(CONFIGURACIÓN!$B$4,12,1),0))&gt;=10,CHOOSE(WEEKDAY(DATE(CONFIGURACIÓN!$B$4,12,10),2),"L","M","X","J","V","S","D"),"")</f>
        <v>J</v>
      </c>
      <c r="L5" s="53" t="str">
        <f>IF(DAY(EOMONTH(DATE(CONFIGURACIÓN!$B$4,12,1),0))&gt;=11,CHOOSE(WEEKDAY(DATE(CONFIGURACIÓN!$B$4,12,11),2),"L","M","X","J","V","S","D"),"")</f>
        <v>V</v>
      </c>
      <c r="M5" s="53" t="str">
        <f>IF(DAY(EOMONTH(DATE(CONFIGURACIÓN!$B$4,12,1),0))&gt;=12,CHOOSE(WEEKDAY(DATE(CONFIGURACIÓN!$B$4,12,12),2),"L","M","X","J","V","S","D"),"")</f>
        <v>S</v>
      </c>
      <c r="N5" s="53" t="str">
        <f>IF(DAY(EOMONTH(DATE(CONFIGURACIÓN!$B$4,12,1),0))&gt;=13,CHOOSE(WEEKDAY(DATE(CONFIGURACIÓN!$B$4,12,13),2),"L","M","X","J","V","S","D"),"")</f>
        <v>D</v>
      </c>
      <c r="O5" s="53" t="str">
        <f>IF(DAY(EOMONTH(DATE(CONFIGURACIÓN!$B$4,12,1),0))&gt;=14,CHOOSE(WEEKDAY(DATE(CONFIGURACIÓN!$B$4,12,14),2),"L","M","X","J","V","S","D"),"")</f>
        <v>L</v>
      </c>
      <c r="P5" s="53" t="str">
        <f>IF(DAY(EOMONTH(DATE(CONFIGURACIÓN!$B$4,12,1),0))&gt;=15,CHOOSE(WEEKDAY(DATE(CONFIGURACIÓN!$B$4,12,15),2),"L","M","X","J","V","S","D"),"")</f>
        <v>M</v>
      </c>
      <c r="Q5" s="53" t="str">
        <f>IF(DAY(EOMONTH(DATE(CONFIGURACIÓN!$B$4,12,1),0))&gt;=16,CHOOSE(WEEKDAY(DATE(CONFIGURACIÓN!$B$4,12,16),2),"L","M","X","J","V","S","D"),"")</f>
        <v>X</v>
      </c>
      <c r="R5" s="53" t="str">
        <f>IF(DAY(EOMONTH(DATE(CONFIGURACIÓN!$B$4,12,1),0))&gt;=17,CHOOSE(WEEKDAY(DATE(CONFIGURACIÓN!$B$4,12,17),2),"L","M","X","J","V","S","D"),"")</f>
        <v>J</v>
      </c>
      <c r="S5" s="53" t="str">
        <f>IF(DAY(EOMONTH(DATE(CONFIGURACIÓN!$B$4,12,1),0))&gt;=18,CHOOSE(WEEKDAY(DATE(CONFIGURACIÓN!$B$4,12,18),2),"L","M","X","J","V","S","D"),"")</f>
        <v>V</v>
      </c>
      <c r="T5" s="53" t="str">
        <f>IF(DAY(EOMONTH(DATE(CONFIGURACIÓN!$B$4,12,1),0))&gt;=19,CHOOSE(WEEKDAY(DATE(CONFIGURACIÓN!$B$4,12,19),2),"L","M","X","J","V","S","D"),"")</f>
        <v>S</v>
      </c>
      <c r="U5" s="53" t="str">
        <f>IF(DAY(EOMONTH(DATE(CONFIGURACIÓN!$B$4,12,1),0))&gt;=20,CHOOSE(WEEKDAY(DATE(CONFIGURACIÓN!$B$4,12,20),2),"L","M","X","J","V","S","D"),"")</f>
        <v>D</v>
      </c>
      <c r="V5" s="53" t="str">
        <f>IF(DAY(EOMONTH(DATE(CONFIGURACIÓN!$B$4,12,1),0))&gt;=21,CHOOSE(WEEKDAY(DATE(CONFIGURACIÓN!$B$4,12,21),2),"L","M","X","J","V","S","D"),"")</f>
        <v>L</v>
      </c>
      <c r="W5" s="53" t="str">
        <f>IF(DAY(EOMONTH(DATE(CONFIGURACIÓN!$B$4,12,1),0))&gt;=22,CHOOSE(WEEKDAY(DATE(CONFIGURACIÓN!$B$4,12,22),2),"L","M","X","J","V","S","D"),"")</f>
        <v>M</v>
      </c>
      <c r="X5" s="53" t="str">
        <f>IF(DAY(EOMONTH(DATE(CONFIGURACIÓN!$B$4,12,1),0))&gt;=23,CHOOSE(WEEKDAY(DATE(CONFIGURACIÓN!$B$4,12,23),2),"L","M","X","J","V","S","D"),"")</f>
        <v>X</v>
      </c>
      <c r="Y5" s="53" t="str">
        <f>IF(DAY(EOMONTH(DATE(CONFIGURACIÓN!$B$4,12,1),0))&gt;=24,CHOOSE(WEEKDAY(DATE(CONFIGURACIÓN!$B$4,12,24),2),"L","M","X","J","V","S","D"),"")</f>
        <v>J</v>
      </c>
      <c r="Z5" s="53" t="str">
        <f>IF(DAY(EOMONTH(DATE(CONFIGURACIÓN!$B$4,12,1),0))&gt;=25,CHOOSE(WEEKDAY(DATE(CONFIGURACIÓN!$B$4,12,25),2),"L","M","X","J","V","S","D"),"")</f>
        <v>V</v>
      </c>
      <c r="AA5" s="53" t="str">
        <f>IF(DAY(EOMONTH(DATE(CONFIGURACIÓN!$B$4,12,1),0))&gt;=26,CHOOSE(WEEKDAY(DATE(CONFIGURACIÓN!$B$4,12,26),2),"L","M","X","J","V","S","D"),"")</f>
        <v>S</v>
      </c>
      <c r="AB5" s="53" t="str">
        <f>IF(DAY(EOMONTH(DATE(CONFIGURACIÓN!$B$4,12,1),0))&gt;=27,CHOOSE(WEEKDAY(DATE(CONFIGURACIÓN!$B$4,12,27),2),"L","M","X","J","V","S","D"),"")</f>
        <v>D</v>
      </c>
      <c r="AC5" s="53" t="str">
        <f>IF(DAY(EOMONTH(DATE(CONFIGURACIÓN!$B$4,12,1),0))&gt;=28,CHOOSE(WEEKDAY(DATE(CONFIGURACIÓN!$B$4,12,28),2),"L","M","X","J","V","S","D"),"")</f>
        <v>L</v>
      </c>
      <c r="AD5" s="53" t="str">
        <f>IF(DAY(EOMONTH(DATE(CONFIGURACIÓN!$B$4,12,1),0))&gt;=29,CHOOSE(WEEKDAY(DATE(CONFIGURACIÓN!$B$4,12,29),2),"L","M","X","J","V","S","D"),"")</f>
        <v>M</v>
      </c>
      <c r="AE5" s="53" t="str">
        <f>IF(DAY(EOMONTH(DATE(CONFIGURACIÓN!$B$4,12,1),0))&gt;=30,CHOOSE(WEEKDAY(DATE(CONFIGURACIÓN!$B$4,12,30),2),"L","M","X","J","V","S","D"),"")</f>
        <v>X</v>
      </c>
      <c r="AF5" s="53" t="str">
        <f>IF(DAY(EOMONTH(DATE(CONFIGURACIÓN!$B$4,12,1),0))&gt;=31,CHOOSE(WEEKDAY(DATE(CONFIGURACIÓN!$B$4,12,31),2),"L","M","X","J","V","S","D"),"")</f>
        <v>J</v>
      </c>
    </row>
    <row r="6" spans="1:39" ht="21.95" customHeight="1">
      <c r="A6" s="127"/>
      <c r="B6" s="53">
        <f>IF(DAY(EOMONTH(DATE(CONFIGURACIÓN!$B$4,12,1),0))&gt;=1,1,"")</f>
        <v>1</v>
      </c>
      <c r="C6" s="53">
        <f>IF(DAY(EOMONTH(DATE(CONFIGURACIÓN!$B$4,12,1),0))&gt;=2,2,"")</f>
        <v>2</v>
      </c>
      <c r="D6" s="53">
        <f>IF(DAY(EOMONTH(DATE(CONFIGURACIÓN!$B$4,12,1),0))&gt;=3,3,"")</f>
        <v>3</v>
      </c>
      <c r="E6" s="53">
        <f>IF(DAY(EOMONTH(DATE(CONFIGURACIÓN!$B$4,12,1),0))&gt;=4,4,"")</f>
        <v>4</v>
      </c>
      <c r="F6" s="53">
        <f>IF(DAY(EOMONTH(DATE(CONFIGURACIÓN!$B$4,12,1),0))&gt;=5,5,"")</f>
        <v>5</v>
      </c>
      <c r="G6" s="53">
        <f>IF(DAY(EOMONTH(DATE(CONFIGURACIÓN!$B$4,12,1),0))&gt;=6,6,"")</f>
        <v>6</v>
      </c>
      <c r="H6" s="53">
        <f>IF(DAY(EOMONTH(DATE(CONFIGURACIÓN!$B$4,12,1),0))&gt;=7,7,"")</f>
        <v>7</v>
      </c>
      <c r="I6" s="53">
        <f>IF(DAY(EOMONTH(DATE(CONFIGURACIÓN!$B$4,12,1),0))&gt;=8,8,"")</f>
        <v>8</v>
      </c>
      <c r="J6" s="53">
        <f>IF(DAY(EOMONTH(DATE(CONFIGURACIÓN!$B$4,12,1),0))&gt;=9,9,"")</f>
        <v>9</v>
      </c>
      <c r="K6" s="53">
        <f>IF(DAY(EOMONTH(DATE(CONFIGURACIÓN!$B$4,12,1),0))&gt;=10,10,"")</f>
        <v>10</v>
      </c>
      <c r="L6" s="53">
        <f>IF(DAY(EOMONTH(DATE(CONFIGURACIÓN!$B$4,12,1),0))&gt;=11,11,"")</f>
        <v>11</v>
      </c>
      <c r="M6" s="53">
        <f>IF(DAY(EOMONTH(DATE(CONFIGURACIÓN!$B$4,12,1),0))&gt;=12,12,"")</f>
        <v>12</v>
      </c>
      <c r="N6" s="53">
        <f>IF(DAY(EOMONTH(DATE(CONFIGURACIÓN!$B$4,12,1),0))&gt;=13,13,"")</f>
        <v>13</v>
      </c>
      <c r="O6" s="53">
        <f>IF(DAY(EOMONTH(DATE(CONFIGURACIÓN!$B$4,12,1),0))&gt;=14,14,"")</f>
        <v>14</v>
      </c>
      <c r="P6" s="53">
        <f>IF(DAY(EOMONTH(DATE(CONFIGURACIÓN!$B$4,12,1),0))&gt;=15,15,"")</f>
        <v>15</v>
      </c>
      <c r="Q6" s="53">
        <f>IF(DAY(EOMONTH(DATE(CONFIGURACIÓN!$B$4,12,1),0))&gt;=16,16,"")</f>
        <v>16</v>
      </c>
      <c r="R6" s="53">
        <f>IF(DAY(EOMONTH(DATE(CONFIGURACIÓN!$B$4,12,1),0))&gt;=17,17,"")</f>
        <v>17</v>
      </c>
      <c r="S6" s="53">
        <f>IF(DAY(EOMONTH(DATE(CONFIGURACIÓN!$B$4,12,1),0))&gt;=18,18,"")</f>
        <v>18</v>
      </c>
      <c r="T6" s="53">
        <f>IF(DAY(EOMONTH(DATE(CONFIGURACIÓN!$B$4,12,1),0))&gt;=19,19,"")</f>
        <v>19</v>
      </c>
      <c r="U6" s="53">
        <f>IF(DAY(EOMONTH(DATE(CONFIGURACIÓN!$B$4,12,1),0))&gt;=20,20,"")</f>
        <v>20</v>
      </c>
      <c r="V6" s="53">
        <f>IF(DAY(EOMONTH(DATE(CONFIGURACIÓN!$B$4,12,1),0))&gt;=21,21,"")</f>
        <v>21</v>
      </c>
      <c r="W6" s="53">
        <f>IF(DAY(EOMONTH(DATE(CONFIGURACIÓN!$B$4,12,1),0))&gt;=22,22,"")</f>
        <v>22</v>
      </c>
      <c r="X6" s="53">
        <f>IF(DAY(EOMONTH(DATE(CONFIGURACIÓN!$B$4,12,1),0))&gt;=23,23,"")</f>
        <v>23</v>
      </c>
      <c r="Y6" s="53">
        <f>IF(DAY(EOMONTH(DATE(CONFIGURACIÓN!$B$4,12,1),0))&gt;=24,24,"")</f>
        <v>24</v>
      </c>
      <c r="Z6" s="53">
        <f>IF(DAY(EOMONTH(DATE(CONFIGURACIÓN!$B$4,12,1),0))&gt;=25,25,"")</f>
        <v>25</v>
      </c>
      <c r="AA6" s="53">
        <f>IF(DAY(EOMONTH(DATE(CONFIGURACIÓN!$B$4,12,1),0))&gt;=26,26,"")</f>
        <v>26</v>
      </c>
      <c r="AB6" s="53">
        <f>IF(DAY(EOMONTH(DATE(CONFIGURACIÓN!$B$4,12,1),0))&gt;=27,27,"")</f>
        <v>27</v>
      </c>
      <c r="AC6" s="53">
        <f>IF(DAY(EOMONTH(DATE(CONFIGURACIÓN!$B$4,12,1),0))&gt;=28,28,"")</f>
        <v>28</v>
      </c>
      <c r="AD6" s="53">
        <f>IF(DAY(EOMONTH(DATE(CONFIGURACIÓN!$B$4,12,1),0))&gt;=29,29,"")</f>
        <v>29</v>
      </c>
      <c r="AE6" s="53">
        <f>IF(DAY(EOMONTH(DATE(CONFIGURACIÓN!$B$4,12,1),0))&gt;=30,30,"")</f>
        <v>30</v>
      </c>
      <c r="AF6" s="53">
        <f>IF(DAY(EOMONTH(DATE(CONFIGURACIÓN!$B$4,12,1),0))&gt;=31,31,"")</f>
        <v>31</v>
      </c>
    </row>
    <row r="7" spans="1:39" ht="21.95" customHeight="1">
      <c r="A7" s="12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28" t="s">
        <v>64</v>
      </c>
      <c r="B16" s="128"/>
      <c r="C16" s="128"/>
      <c r="D16" s="128"/>
      <c r="E16" s="128"/>
      <c r="F16" s="128"/>
      <c r="G16" s="128"/>
      <c r="H16" s="12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54" t="s">
        <v>47</v>
      </c>
      <c r="B17" s="54" t="s">
        <v>15</v>
      </c>
      <c r="C17" s="54" t="s">
        <v>66</v>
      </c>
      <c r="D17" s="54" t="s">
        <v>67</v>
      </c>
      <c r="E17" s="54" t="s">
        <v>68</v>
      </c>
      <c r="F17" s="54" t="s">
        <v>69</v>
      </c>
      <c r="G17" s="54" t="s">
        <v>61</v>
      </c>
      <c r="H17" s="54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55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55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55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55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55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55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</row>
    <row r="26" spans="1:32" ht="24" customHeight="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50" priority="1" operator="equal">
      <formula>"D"</formula>
    </cfRule>
    <cfRule type="cellIs" dxfId="49" priority="2" operator="equal">
      <formula>"S"</formula>
    </cfRule>
  </conditionalFormatting>
  <conditionalFormatting sqref="B8:AF13">
    <cfRule type="expression" dxfId="48" priority="3">
      <formula>AND(B8=$AG$1,$AG$2="VERDE")</formula>
    </cfRule>
    <cfRule type="expression" dxfId="47" priority="4">
      <formula>AND(B8=$AG$1,$AG$2="AZUL")</formula>
    </cfRule>
    <cfRule type="expression" dxfId="46" priority="5">
      <formula>AND(B8=$AG$1,$AG$2="TURQUESA")</formula>
    </cfRule>
    <cfRule type="expression" dxfId="45" priority="6">
      <formula>AND(B8=$AG$1,$AG$2="ROJO")</formula>
    </cfRule>
    <cfRule type="expression" dxfId="44" priority="7">
      <formula>AND(B8=$AG$1,$AG$2="VERDE CLARO")</formula>
    </cfRule>
    <cfRule type="expression" dxfId="43" priority="8">
      <formula>AND(B8=$AG$1,$AG$2="NARANJA")</formula>
    </cfRule>
    <cfRule type="expression" dxfId="42" priority="9">
      <formula>AND(B8=$AG$1,$AG$2="GRIS")</formula>
    </cfRule>
    <cfRule type="expression" dxfId="41" priority="10">
      <formula>AND(B8=$AH$1,$AH$2="VERDE")</formula>
    </cfRule>
    <cfRule type="expression" dxfId="40" priority="11">
      <formula>AND(B8=$AH$1,$AH$2="AZUL")</formula>
    </cfRule>
    <cfRule type="expression" dxfId="39" priority="12">
      <formula>AND(B8=$AH$1,$AH$2="TURQUESA")</formula>
    </cfRule>
    <cfRule type="expression" dxfId="38" priority="13">
      <formula>AND(B8=$AH$1,$AH$2="ROJO")</formula>
    </cfRule>
    <cfRule type="expression" dxfId="37" priority="14">
      <formula>AND(B8=$AH$1,$AH$2="VERDE CLARO")</formula>
    </cfRule>
    <cfRule type="expression" dxfId="36" priority="15">
      <formula>AND(B8=$AH$1,$AH$2="NARANJA")</formula>
    </cfRule>
    <cfRule type="expression" dxfId="35" priority="16">
      <formula>AND(B8=$AH$1,$AH$2="GRIS")</formula>
    </cfRule>
    <cfRule type="expression" dxfId="34" priority="17">
      <formula>AND(B8=$AI$1,$AI$2="VERDE")</formula>
    </cfRule>
    <cfRule type="expression" dxfId="33" priority="18">
      <formula>AND(B8=$AI$1,$AI$2="AZUL")</formula>
    </cfRule>
    <cfRule type="expression" dxfId="32" priority="19">
      <formula>AND(B8=$AI$1,$AI$2="TURQUESA")</formula>
    </cfRule>
    <cfRule type="expression" dxfId="31" priority="20">
      <formula>AND(B8=$AI$1,$AI$2="ROJO")</formula>
    </cfRule>
    <cfRule type="expression" dxfId="30" priority="21">
      <formula>AND(B8=$AI$1,$AI$2="VERDE CLARO")</formula>
    </cfRule>
    <cfRule type="expression" dxfId="29" priority="22">
      <formula>AND(B8=$AI$1,$AI$2="NARANJA")</formula>
    </cfRule>
    <cfRule type="expression" dxfId="28" priority="23">
      <formula>AND(B8=$AI$1,$AI$2="GRIS")</formula>
    </cfRule>
    <cfRule type="expression" dxfId="27" priority="24">
      <formula>AND(B8=$AJ$1,$AJ$2="VERDE")</formula>
    </cfRule>
    <cfRule type="expression" dxfId="26" priority="25">
      <formula>AND(B8=$AJ$1,$AJ$2="AZUL")</formula>
    </cfRule>
    <cfRule type="expression" dxfId="25" priority="26">
      <formula>AND(B8=$AJ$1,$AJ$2="TURQUESA")</formula>
    </cfRule>
    <cfRule type="expression" dxfId="24" priority="27">
      <formula>AND(B8=$AJ$1,$AJ$2="ROJO")</formula>
    </cfRule>
    <cfRule type="expression" dxfId="23" priority="28">
      <formula>AND(B8=$AJ$1,$AJ$2="VERDE CLARO")</formula>
    </cfRule>
    <cfRule type="expression" dxfId="22" priority="29">
      <formula>AND(B8=$AJ$1,$AJ$2="NARANJA")</formula>
    </cfRule>
    <cfRule type="expression" dxfId="21" priority="30">
      <formula>AND(B8=$AJ$1,$AJ$2="GRIS")</formula>
    </cfRule>
    <cfRule type="expression" dxfId="20" priority="31">
      <formula>AND(B8=$AK$1,$AK$2="VERDE")</formula>
    </cfRule>
    <cfRule type="expression" dxfId="19" priority="32">
      <formula>AND(B8=$AK$1,$AK$2="AZUL")</formula>
    </cfRule>
    <cfRule type="expression" dxfId="18" priority="33">
      <formula>AND(B8=$AK$1,$AK$2="TURQUESA")</formula>
    </cfRule>
    <cfRule type="expression" dxfId="17" priority="34">
      <formula>AND(B8=$AK$1,$AK$2="ROJO")</formula>
    </cfRule>
    <cfRule type="expression" dxfId="16" priority="35">
      <formula>AND(B8=$AK$1,$AK$2="VERDE CLARO")</formula>
    </cfRule>
    <cfRule type="expression" dxfId="15" priority="36">
      <formula>AND(B8=$AK$1,$AK$2="NARANJA")</formula>
    </cfRule>
    <cfRule type="expression" dxfId="14" priority="37">
      <formula>AND(B8=$AK$1,$AK$2="GRIS")</formula>
    </cfRule>
    <cfRule type="expression" dxfId="13" priority="38">
      <formula>AND(B8=$AL$1,$AL$2="VERDE")</formula>
    </cfRule>
    <cfRule type="expression" dxfId="12" priority="39">
      <formula>AND(B8=$AL$1,$AL$2="AZUL")</formula>
    </cfRule>
    <cfRule type="expression" dxfId="11" priority="40">
      <formula>AND(B8=$AL$1,$AL$2="TURQUESA")</formula>
    </cfRule>
    <cfRule type="expression" dxfId="10" priority="41">
      <formula>AND(B8=$AL$1,$AL$2="ROJO")</formula>
    </cfRule>
    <cfRule type="expression" dxfId="9" priority="42">
      <formula>AND(B8=$AL$1,$AL$2="VERDE CLARO")</formula>
    </cfRule>
    <cfRule type="expression" dxfId="8" priority="43">
      <formula>AND(B8=$AL$1,$AL$2="NARANJA")</formula>
    </cfRule>
    <cfRule type="expression" dxfId="7" priority="44">
      <formula>AND(B8=$AL$1,$AL$2="GRIS")</formula>
    </cfRule>
    <cfRule type="expression" dxfId="6" priority="45">
      <formula>AND(B8=$AM$1,$AM$2="VERDE")</formula>
    </cfRule>
    <cfRule type="expression" dxfId="5" priority="46">
      <formula>AND(B8=$AM$1,$AM$2="AZUL")</formula>
    </cfRule>
    <cfRule type="expression" dxfId="4" priority="47">
      <formula>AND(B8=$AM$1,$AM$2="TURQUESA")</formula>
    </cfRule>
    <cfRule type="expression" dxfId="3" priority="48">
      <formula>AND(B8=$AM$1,$AM$2="ROJO")</formula>
    </cfRule>
    <cfRule type="expression" dxfId="2" priority="49">
      <formula>AND(B8=$AM$1,$AM$2="VERDE CLARO")</formula>
    </cfRule>
    <cfRule type="expression" dxfId="1" priority="50">
      <formula>AND(B8=$AM$1,$AM$2="NARANJA")</formula>
    </cfRule>
    <cfRule type="expression" dxfId="0" priority="51">
      <formula>AND(B8=$AM$1,$AM$2="GRIS")</formula>
    </cfRule>
  </conditionalFormatting>
  <dataValidations count="1">
    <dataValidation type="list" sqref="B8:AF13" xr:uid="{00000000-0002-0000-0D00-000000000000}">
      <formula1>$AG$1:$AM$1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showGridLines="0" workbookViewId="0"/>
  </sheetViews>
  <sheetFormatPr baseColWidth="10" defaultColWidth="9" defaultRowHeight="14.25"/>
  <cols>
    <col min="1" max="1" width="26" customWidth="1"/>
    <col min="2" max="13" width="10" customWidth="1"/>
    <col min="14" max="15" width="15" customWidth="1"/>
  </cols>
  <sheetData>
    <row r="1" spans="1:15" ht="54.95" customHeight="1">
      <c r="B1" s="59" t="s">
        <v>46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54.9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35.1" customHeight="1">
      <c r="B3" s="60" t="str">
        <f>"CENTRO: "&amp;CONFIGURACIÓN!B5&amp;" · AÑO "&amp;CONFIGURACIÓN!B4</f>
        <v>CENTRO: CENTRO DE TRABAJO · AÑO 2026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5" spans="1:15" ht="15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51</v>
      </c>
      <c r="F5" s="13" t="s">
        <v>52</v>
      </c>
      <c r="G5" s="13" t="s">
        <v>53</v>
      </c>
      <c r="H5" s="13" t="s">
        <v>54</v>
      </c>
      <c r="I5" s="13" t="s">
        <v>55</v>
      </c>
      <c r="J5" s="13" t="s">
        <v>56</v>
      </c>
      <c r="K5" s="13" t="s">
        <v>57</v>
      </c>
      <c r="L5" s="13" t="s">
        <v>58</v>
      </c>
      <c r="M5" s="13" t="s">
        <v>59</v>
      </c>
      <c r="N5" s="13" t="s">
        <v>60</v>
      </c>
      <c r="O5" s="13" t="s">
        <v>61</v>
      </c>
    </row>
    <row r="6" spans="1:15" ht="15">
      <c r="A6" s="14" t="str">
        <f>CONFIGURACIÓN!B7</f>
        <v>NOMBRE Y APELLIDOS</v>
      </c>
      <c r="B6" s="15">
        <f>ENERO!B18</f>
        <v>0</v>
      </c>
      <c r="C6" s="15">
        <f>FEBRERO!B18</f>
        <v>0</v>
      </c>
      <c r="D6" s="15">
        <f>MARZO!B18</f>
        <v>0</v>
      </c>
      <c r="E6" s="15">
        <f>ABRIL!B18</f>
        <v>0</v>
      </c>
      <c r="F6" s="15">
        <f>MAYO!B18</f>
        <v>0</v>
      </c>
      <c r="G6" s="15">
        <f>JUNIO!B18</f>
        <v>0</v>
      </c>
      <c r="H6" s="15">
        <f>JULIO!B18</f>
        <v>0</v>
      </c>
      <c r="I6" s="15">
        <f>AGOSTO!B18</f>
        <v>0</v>
      </c>
      <c r="J6" s="15">
        <f>SEPTIEMBRE!B18</f>
        <v>0</v>
      </c>
      <c r="K6" s="15">
        <f>OCTUBRE!B18</f>
        <v>0</v>
      </c>
      <c r="L6" s="15">
        <f>NOVIEMBRE!B18</f>
        <v>0</v>
      </c>
      <c r="M6" s="15">
        <f>DICIEMBRE!B18</f>
        <v>0</v>
      </c>
      <c r="N6" s="16">
        <f t="shared" ref="N6:N11" si="0">SUM(B6:M6)</f>
        <v>0</v>
      </c>
      <c r="O6" s="16">
        <f>SUM(ENERO!G18,FEBRERO!G18,MARZO!G18,ABRIL!G18,MAYO!G18,JUNIO!G18,JULIO!G18,AGOSTO!G18,SEPTIEMBRE!G18,OCTUBRE!G18,NOVIEMBRE!G18,DICIEMBRE!G18)</f>
        <v>0</v>
      </c>
    </row>
    <row r="7" spans="1:15" ht="15">
      <c r="A7" s="14" t="str">
        <f>CONFIGURACIÓN!B8</f>
        <v>NOMBRE Y APELLIDOS</v>
      </c>
      <c r="B7" s="15">
        <f>ENERO!B19</f>
        <v>0</v>
      </c>
      <c r="C7" s="15">
        <f>FEBRERO!B19</f>
        <v>0</v>
      </c>
      <c r="D7" s="15">
        <f>MARZO!B19</f>
        <v>0</v>
      </c>
      <c r="E7" s="15">
        <f>ABRIL!B19</f>
        <v>0</v>
      </c>
      <c r="F7" s="15">
        <f>MAYO!B19</f>
        <v>0</v>
      </c>
      <c r="G7" s="15">
        <f>JUNIO!B19</f>
        <v>0</v>
      </c>
      <c r="H7" s="15">
        <f>JULIO!B19</f>
        <v>0</v>
      </c>
      <c r="I7" s="15">
        <f>AGOSTO!B19</f>
        <v>0</v>
      </c>
      <c r="J7" s="15">
        <f>SEPTIEMBRE!B19</f>
        <v>0</v>
      </c>
      <c r="K7" s="15">
        <f>OCTUBRE!B19</f>
        <v>0</v>
      </c>
      <c r="L7" s="15">
        <f>NOVIEMBRE!B19</f>
        <v>0</v>
      </c>
      <c r="M7" s="15">
        <f>DICIEMBRE!B19</f>
        <v>0</v>
      </c>
      <c r="N7" s="16">
        <f t="shared" si="0"/>
        <v>0</v>
      </c>
      <c r="O7" s="16">
        <f>SUM(ENERO!G19,FEBRERO!G19,MARZO!G19,ABRIL!G19,MAYO!G19,JUNIO!G19,JULIO!G19,AGOSTO!G19,SEPTIEMBRE!G19,OCTUBRE!G19,NOVIEMBRE!G19,DICIEMBRE!G19)</f>
        <v>0</v>
      </c>
    </row>
    <row r="8" spans="1:15" ht="15">
      <c r="A8" s="14" t="str">
        <f>CONFIGURACIÓN!B9</f>
        <v>NOMBRE Y APELLIDOS</v>
      </c>
      <c r="B8" s="15">
        <f>ENERO!B20</f>
        <v>0</v>
      </c>
      <c r="C8" s="15">
        <f>FEBRERO!B20</f>
        <v>0</v>
      </c>
      <c r="D8" s="15">
        <f>MARZO!B20</f>
        <v>0</v>
      </c>
      <c r="E8" s="15">
        <f>ABRIL!B20</f>
        <v>0</v>
      </c>
      <c r="F8" s="15">
        <f>MAYO!B20</f>
        <v>0</v>
      </c>
      <c r="G8" s="15">
        <f>JUNIO!B20</f>
        <v>0</v>
      </c>
      <c r="H8" s="15">
        <f>JULIO!B20</f>
        <v>0</v>
      </c>
      <c r="I8" s="15">
        <f>AGOSTO!B20</f>
        <v>0</v>
      </c>
      <c r="J8" s="15">
        <f>SEPTIEMBRE!B20</f>
        <v>0</v>
      </c>
      <c r="K8" s="15">
        <f>OCTUBRE!B20</f>
        <v>0</v>
      </c>
      <c r="L8" s="15">
        <f>NOVIEMBRE!B20</f>
        <v>0</v>
      </c>
      <c r="M8" s="15">
        <f>DICIEMBRE!B20</f>
        <v>0</v>
      </c>
      <c r="N8" s="16">
        <f t="shared" si="0"/>
        <v>0</v>
      </c>
      <c r="O8" s="16">
        <f>SUM(ENERO!G20,FEBRERO!G20,MARZO!G20,ABRIL!G20,MAYO!G20,JUNIO!G20,JULIO!G20,AGOSTO!G20,SEPTIEMBRE!G20,OCTUBRE!G20,NOVIEMBRE!G20,DICIEMBRE!G20)</f>
        <v>0</v>
      </c>
    </row>
    <row r="9" spans="1:15" ht="15">
      <c r="A9" s="14" t="str">
        <f>CONFIGURACIÓN!B10</f>
        <v>NOMBRE Y APELLIDOS</v>
      </c>
      <c r="B9" s="15">
        <f>ENERO!B21</f>
        <v>0</v>
      </c>
      <c r="C9" s="15">
        <f>FEBRERO!B21</f>
        <v>0</v>
      </c>
      <c r="D9" s="15">
        <f>MARZO!B21</f>
        <v>0</v>
      </c>
      <c r="E9" s="15">
        <f>ABRIL!B21</f>
        <v>0</v>
      </c>
      <c r="F9" s="15">
        <f>MAYO!B21</f>
        <v>0</v>
      </c>
      <c r="G9" s="15">
        <f>JUNIO!B21</f>
        <v>0</v>
      </c>
      <c r="H9" s="15">
        <f>JULIO!B21</f>
        <v>0</v>
      </c>
      <c r="I9" s="15">
        <f>AGOSTO!B21</f>
        <v>0</v>
      </c>
      <c r="J9" s="15">
        <f>SEPTIEMBRE!B21</f>
        <v>0</v>
      </c>
      <c r="K9" s="15">
        <f>OCTUBRE!B21</f>
        <v>0</v>
      </c>
      <c r="L9" s="15">
        <f>NOVIEMBRE!B21</f>
        <v>0</v>
      </c>
      <c r="M9" s="15">
        <f>DICIEMBRE!B21</f>
        <v>0</v>
      </c>
      <c r="N9" s="16">
        <f t="shared" si="0"/>
        <v>0</v>
      </c>
      <c r="O9" s="16">
        <f>SUM(ENERO!G21,FEBRERO!G21,MARZO!G21,ABRIL!G21,MAYO!G21,JUNIO!G21,JULIO!G21,AGOSTO!G21,SEPTIEMBRE!G21,OCTUBRE!G21,NOVIEMBRE!G21,DICIEMBRE!G21)</f>
        <v>0</v>
      </c>
    </row>
    <row r="10" spans="1:15" ht="15">
      <c r="A10" s="14" t="str">
        <f>CONFIGURACIÓN!B11</f>
        <v>NOMBRE Y APELLIDOS</v>
      </c>
      <c r="B10" s="15">
        <f>ENERO!B22</f>
        <v>0</v>
      </c>
      <c r="C10" s="15">
        <f>FEBRERO!B22</f>
        <v>0</v>
      </c>
      <c r="D10" s="15">
        <f>MARZO!B22</f>
        <v>0</v>
      </c>
      <c r="E10" s="15">
        <f>ABRIL!B22</f>
        <v>0</v>
      </c>
      <c r="F10" s="15">
        <f>MAYO!B22</f>
        <v>0</v>
      </c>
      <c r="G10" s="15">
        <f>JUNIO!B22</f>
        <v>0</v>
      </c>
      <c r="H10" s="15">
        <f>JULIO!B22</f>
        <v>0</v>
      </c>
      <c r="I10" s="15">
        <f>AGOSTO!B22</f>
        <v>0</v>
      </c>
      <c r="J10" s="15">
        <f>SEPTIEMBRE!B22</f>
        <v>0</v>
      </c>
      <c r="K10" s="15">
        <f>OCTUBRE!B22</f>
        <v>0</v>
      </c>
      <c r="L10" s="15">
        <f>NOVIEMBRE!B22</f>
        <v>0</v>
      </c>
      <c r="M10" s="15">
        <f>DICIEMBRE!B22</f>
        <v>0</v>
      </c>
      <c r="N10" s="16">
        <f t="shared" si="0"/>
        <v>0</v>
      </c>
      <c r="O10" s="16">
        <f>SUM(ENERO!G22,FEBRERO!G22,MARZO!G22,ABRIL!G22,MAYO!G22,JUNIO!G22,JULIO!G22,AGOSTO!G22,SEPTIEMBRE!G22,OCTUBRE!G22,NOVIEMBRE!G22,DICIEMBRE!G22)</f>
        <v>0</v>
      </c>
    </row>
    <row r="11" spans="1:15" ht="15">
      <c r="A11" s="14" t="str">
        <f>CONFIGURACIÓN!B12</f>
        <v>NOMBRE Y APELLIDOS</v>
      </c>
      <c r="B11" s="15">
        <f>ENERO!B23</f>
        <v>0</v>
      </c>
      <c r="C11" s="15">
        <f>FEBRERO!B23</f>
        <v>0</v>
      </c>
      <c r="D11" s="15">
        <f>MARZO!B23</f>
        <v>0</v>
      </c>
      <c r="E11" s="15">
        <f>ABRIL!B23</f>
        <v>0</v>
      </c>
      <c r="F11" s="15">
        <f>MAYO!B23</f>
        <v>0</v>
      </c>
      <c r="G11" s="15">
        <f>JUNIO!B23</f>
        <v>0</v>
      </c>
      <c r="H11" s="15">
        <f>JULIO!B23</f>
        <v>0</v>
      </c>
      <c r="I11" s="15">
        <f>AGOSTO!B23</f>
        <v>0</v>
      </c>
      <c r="J11" s="15">
        <f>SEPTIEMBRE!B23</f>
        <v>0</v>
      </c>
      <c r="K11" s="15">
        <f>OCTUBRE!B23</f>
        <v>0</v>
      </c>
      <c r="L11" s="15">
        <f>NOVIEMBRE!B23</f>
        <v>0</v>
      </c>
      <c r="M11" s="15">
        <f>DICIEMBRE!B23</f>
        <v>0</v>
      </c>
      <c r="N11" s="16">
        <f t="shared" si="0"/>
        <v>0</v>
      </c>
      <c r="O11" s="16">
        <f>SUM(ENERO!G23,FEBRERO!G23,MARZO!G23,ABRIL!G23,MAYO!G23,JUNIO!G23,JULIO!G23,AGOSTO!G23,SEPTIEMBRE!G23,OCTUBRE!G23,NOVIEMBRE!G23,DICIEMBRE!G23)</f>
        <v>0</v>
      </c>
    </row>
    <row r="13" spans="1:15" ht="24" customHeight="1"/>
    <row r="14" spans="1:15" ht="24" customHeight="1"/>
  </sheetData>
  <sheetProtection password="CC3D" sheet="1" objects="1" formatCells="0" formatColumns="0" formatRows="0" insertColumns="0" insertRows="0" insertHyperlinks="0" deleteColumns="0" deleteRows="0" sort="0" autoFilter="0" pivotTables="0"/>
  <mergeCells count="2">
    <mergeCell ref="B1:O2"/>
    <mergeCell ref="B3:O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"/>
  <sheetViews>
    <sheetView showGridLines="0" tabSelected="1" workbookViewId="0">
      <selection activeCell="E9" sqref="E9"/>
    </sheetView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61" t="s">
        <v>62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62" t="str">
        <f>"ENERO "&amp;CONFIGURACIÓN!B4&amp;" · "&amp;CONFIGURACIÓN!B5</f>
        <v>ENERO 2026 · CENTRO DE TRABAJO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63" t="s">
        <v>63</v>
      </c>
      <c r="B5" s="17" t="str">
        <f>IF(DAY(EOMONTH(DATE(CONFIGURACIÓN!$B$4,1,1),0))&gt;=1,CHOOSE(WEEKDAY(DATE(CONFIGURACIÓN!$B$4,1,1),2),"L","M","X","J","V","S","D"),"")</f>
        <v>J</v>
      </c>
      <c r="C5" s="17" t="str">
        <f>IF(DAY(EOMONTH(DATE(CONFIGURACIÓN!$B$4,1,1),0))&gt;=2,CHOOSE(WEEKDAY(DATE(CONFIGURACIÓN!$B$4,1,2),2),"L","M","X","J","V","S","D"),"")</f>
        <v>V</v>
      </c>
      <c r="D5" s="17" t="str">
        <f>IF(DAY(EOMONTH(DATE(CONFIGURACIÓN!$B$4,1,1),0))&gt;=3,CHOOSE(WEEKDAY(DATE(CONFIGURACIÓN!$B$4,1,3),2),"L","M","X","J","V","S","D"),"")</f>
        <v>S</v>
      </c>
      <c r="E5" s="17" t="str">
        <f>IF(DAY(EOMONTH(DATE(CONFIGURACIÓN!$B$4,1,1),0))&gt;=4,CHOOSE(WEEKDAY(DATE(CONFIGURACIÓN!$B$4,1,4),2),"L","M","X","J","V","S","D"),"")</f>
        <v>D</v>
      </c>
      <c r="F5" s="17" t="str">
        <f>IF(DAY(EOMONTH(DATE(CONFIGURACIÓN!$B$4,1,1),0))&gt;=5,CHOOSE(WEEKDAY(DATE(CONFIGURACIÓN!$B$4,1,5),2),"L","M","X","J","V","S","D"),"")</f>
        <v>L</v>
      </c>
      <c r="G5" s="17" t="str">
        <f>IF(DAY(EOMONTH(DATE(CONFIGURACIÓN!$B$4,1,1),0))&gt;=6,CHOOSE(WEEKDAY(DATE(CONFIGURACIÓN!$B$4,1,6),2),"L","M","X","J","V","S","D"),"")</f>
        <v>M</v>
      </c>
      <c r="H5" s="17" t="str">
        <f>IF(DAY(EOMONTH(DATE(CONFIGURACIÓN!$B$4,1,1),0))&gt;=7,CHOOSE(WEEKDAY(DATE(CONFIGURACIÓN!$B$4,1,7),2),"L","M","X","J","V","S","D"),"")</f>
        <v>X</v>
      </c>
      <c r="I5" s="17" t="str">
        <f>IF(DAY(EOMONTH(DATE(CONFIGURACIÓN!$B$4,1,1),0))&gt;=8,CHOOSE(WEEKDAY(DATE(CONFIGURACIÓN!$B$4,1,8),2),"L","M","X","J","V","S","D"),"")</f>
        <v>J</v>
      </c>
      <c r="J5" s="17" t="str">
        <f>IF(DAY(EOMONTH(DATE(CONFIGURACIÓN!$B$4,1,1),0))&gt;=9,CHOOSE(WEEKDAY(DATE(CONFIGURACIÓN!$B$4,1,9),2),"L","M","X","J","V","S","D"),"")</f>
        <v>V</v>
      </c>
      <c r="K5" s="17" t="str">
        <f>IF(DAY(EOMONTH(DATE(CONFIGURACIÓN!$B$4,1,1),0))&gt;=10,CHOOSE(WEEKDAY(DATE(CONFIGURACIÓN!$B$4,1,10),2),"L","M","X","J","V","S","D"),"")</f>
        <v>S</v>
      </c>
      <c r="L5" s="17" t="str">
        <f>IF(DAY(EOMONTH(DATE(CONFIGURACIÓN!$B$4,1,1),0))&gt;=11,CHOOSE(WEEKDAY(DATE(CONFIGURACIÓN!$B$4,1,11),2),"L","M","X","J","V","S","D"),"")</f>
        <v>D</v>
      </c>
      <c r="M5" s="17" t="str">
        <f>IF(DAY(EOMONTH(DATE(CONFIGURACIÓN!$B$4,1,1),0))&gt;=12,CHOOSE(WEEKDAY(DATE(CONFIGURACIÓN!$B$4,1,12),2),"L","M","X","J","V","S","D"),"")</f>
        <v>L</v>
      </c>
      <c r="N5" s="17" t="str">
        <f>IF(DAY(EOMONTH(DATE(CONFIGURACIÓN!$B$4,1,1),0))&gt;=13,CHOOSE(WEEKDAY(DATE(CONFIGURACIÓN!$B$4,1,13),2),"L","M","X","J","V","S","D"),"")</f>
        <v>M</v>
      </c>
      <c r="O5" s="17" t="str">
        <f>IF(DAY(EOMONTH(DATE(CONFIGURACIÓN!$B$4,1,1),0))&gt;=14,CHOOSE(WEEKDAY(DATE(CONFIGURACIÓN!$B$4,1,14),2),"L","M","X","J","V","S","D"),"")</f>
        <v>X</v>
      </c>
      <c r="P5" s="17" t="str">
        <f>IF(DAY(EOMONTH(DATE(CONFIGURACIÓN!$B$4,1,1),0))&gt;=15,CHOOSE(WEEKDAY(DATE(CONFIGURACIÓN!$B$4,1,15),2),"L","M","X","J","V","S","D"),"")</f>
        <v>J</v>
      </c>
      <c r="Q5" s="17" t="str">
        <f>IF(DAY(EOMONTH(DATE(CONFIGURACIÓN!$B$4,1,1),0))&gt;=16,CHOOSE(WEEKDAY(DATE(CONFIGURACIÓN!$B$4,1,16),2),"L","M","X","J","V","S","D"),"")</f>
        <v>V</v>
      </c>
      <c r="R5" s="17" t="str">
        <f>IF(DAY(EOMONTH(DATE(CONFIGURACIÓN!$B$4,1,1),0))&gt;=17,CHOOSE(WEEKDAY(DATE(CONFIGURACIÓN!$B$4,1,17),2),"L","M","X","J","V","S","D"),"")</f>
        <v>S</v>
      </c>
      <c r="S5" s="17" t="str">
        <f>IF(DAY(EOMONTH(DATE(CONFIGURACIÓN!$B$4,1,1),0))&gt;=18,CHOOSE(WEEKDAY(DATE(CONFIGURACIÓN!$B$4,1,18),2),"L","M","X","J","V","S","D"),"")</f>
        <v>D</v>
      </c>
      <c r="T5" s="17" t="str">
        <f>IF(DAY(EOMONTH(DATE(CONFIGURACIÓN!$B$4,1,1),0))&gt;=19,CHOOSE(WEEKDAY(DATE(CONFIGURACIÓN!$B$4,1,19),2),"L","M","X","J","V","S","D"),"")</f>
        <v>L</v>
      </c>
      <c r="U5" s="17" t="str">
        <f>IF(DAY(EOMONTH(DATE(CONFIGURACIÓN!$B$4,1,1),0))&gt;=20,CHOOSE(WEEKDAY(DATE(CONFIGURACIÓN!$B$4,1,20),2),"L","M","X","J","V","S","D"),"")</f>
        <v>M</v>
      </c>
      <c r="V5" s="17" t="str">
        <f>IF(DAY(EOMONTH(DATE(CONFIGURACIÓN!$B$4,1,1),0))&gt;=21,CHOOSE(WEEKDAY(DATE(CONFIGURACIÓN!$B$4,1,21),2),"L","M","X","J","V","S","D"),"")</f>
        <v>X</v>
      </c>
      <c r="W5" s="17" t="str">
        <f>IF(DAY(EOMONTH(DATE(CONFIGURACIÓN!$B$4,1,1),0))&gt;=22,CHOOSE(WEEKDAY(DATE(CONFIGURACIÓN!$B$4,1,22),2),"L","M","X","J","V","S","D"),"")</f>
        <v>J</v>
      </c>
      <c r="X5" s="17" t="str">
        <f>IF(DAY(EOMONTH(DATE(CONFIGURACIÓN!$B$4,1,1),0))&gt;=23,CHOOSE(WEEKDAY(DATE(CONFIGURACIÓN!$B$4,1,23),2),"L","M","X","J","V","S","D"),"")</f>
        <v>V</v>
      </c>
      <c r="Y5" s="17" t="str">
        <f>IF(DAY(EOMONTH(DATE(CONFIGURACIÓN!$B$4,1,1),0))&gt;=24,CHOOSE(WEEKDAY(DATE(CONFIGURACIÓN!$B$4,1,24),2),"L","M","X","J","V","S","D"),"")</f>
        <v>S</v>
      </c>
      <c r="Z5" s="17" t="str">
        <f>IF(DAY(EOMONTH(DATE(CONFIGURACIÓN!$B$4,1,1),0))&gt;=25,CHOOSE(WEEKDAY(DATE(CONFIGURACIÓN!$B$4,1,25),2),"L","M","X","J","V","S","D"),"")</f>
        <v>D</v>
      </c>
      <c r="AA5" s="17" t="str">
        <f>IF(DAY(EOMONTH(DATE(CONFIGURACIÓN!$B$4,1,1),0))&gt;=26,CHOOSE(WEEKDAY(DATE(CONFIGURACIÓN!$B$4,1,26),2),"L","M","X","J","V","S","D"),"")</f>
        <v>L</v>
      </c>
      <c r="AB5" s="17" t="str">
        <f>IF(DAY(EOMONTH(DATE(CONFIGURACIÓN!$B$4,1,1),0))&gt;=27,CHOOSE(WEEKDAY(DATE(CONFIGURACIÓN!$B$4,1,27),2),"L","M","X","J","V","S","D"),"")</f>
        <v>M</v>
      </c>
      <c r="AC5" s="17" t="str">
        <f>IF(DAY(EOMONTH(DATE(CONFIGURACIÓN!$B$4,1,1),0))&gt;=28,CHOOSE(WEEKDAY(DATE(CONFIGURACIÓN!$B$4,1,28),2),"L","M","X","J","V","S","D"),"")</f>
        <v>X</v>
      </c>
      <c r="AD5" s="17" t="str">
        <f>IF(DAY(EOMONTH(DATE(CONFIGURACIÓN!$B$4,1,1),0))&gt;=29,CHOOSE(WEEKDAY(DATE(CONFIGURACIÓN!$B$4,1,29),2),"L","M","X","J","V","S","D"),"")</f>
        <v>J</v>
      </c>
      <c r="AE5" s="17" t="str">
        <f>IF(DAY(EOMONTH(DATE(CONFIGURACIÓN!$B$4,1,1),0))&gt;=30,CHOOSE(WEEKDAY(DATE(CONFIGURACIÓN!$B$4,1,30),2),"L","M","X","J","V","S","D"),"")</f>
        <v>V</v>
      </c>
      <c r="AF5" s="17" t="str">
        <f>IF(DAY(EOMONTH(DATE(CONFIGURACIÓN!$B$4,1,1),0))&gt;=31,CHOOSE(WEEKDAY(DATE(CONFIGURACIÓN!$B$4,1,31),2),"L","M","X","J","V","S","D"),"")</f>
        <v>S</v>
      </c>
    </row>
    <row r="6" spans="1:39" ht="21.95" customHeight="1">
      <c r="A6" s="63"/>
      <c r="B6" s="17">
        <f>IF(DAY(EOMONTH(DATE(CONFIGURACIÓN!$B$4,1,1),0))&gt;=1,1,"")</f>
        <v>1</v>
      </c>
      <c r="C6" s="17">
        <f>IF(DAY(EOMONTH(DATE(CONFIGURACIÓN!$B$4,1,1),0))&gt;=2,2,"")</f>
        <v>2</v>
      </c>
      <c r="D6" s="17">
        <f>IF(DAY(EOMONTH(DATE(CONFIGURACIÓN!$B$4,1,1),0))&gt;=3,3,"")</f>
        <v>3</v>
      </c>
      <c r="E6" s="17">
        <f>IF(DAY(EOMONTH(DATE(CONFIGURACIÓN!$B$4,1,1),0))&gt;=4,4,"")</f>
        <v>4</v>
      </c>
      <c r="F6" s="17">
        <f>IF(DAY(EOMONTH(DATE(CONFIGURACIÓN!$B$4,1,1),0))&gt;=5,5,"")</f>
        <v>5</v>
      </c>
      <c r="G6" s="17">
        <f>IF(DAY(EOMONTH(DATE(CONFIGURACIÓN!$B$4,1,1),0))&gt;=6,6,"")</f>
        <v>6</v>
      </c>
      <c r="H6" s="17">
        <f>IF(DAY(EOMONTH(DATE(CONFIGURACIÓN!$B$4,1,1),0))&gt;=7,7,"")</f>
        <v>7</v>
      </c>
      <c r="I6" s="17">
        <f>IF(DAY(EOMONTH(DATE(CONFIGURACIÓN!$B$4,1,1),0))&gt;=8,8,"")</f>
        <v>8</v>
      </c>
      <c r="J6" s="17">
        <f>IF(DAY(EOMONTH(DATE(CONFIGURACIÓN!$B$4,1,1),0))&gt;=9,9,"")</f>
        <v>9</v>
      </c>
      <c r="K6" s="17">
        <f>IF(DAY(EOMONTH(DATE(CONFIGURACIÓN!$B$4,1,1),0))&gt;=10,10,"")</f>
        <v>10</v>
      </c>
      <c r="L6" s="17">
        <f>IF(DAY(EOMONTH(DATE(CONFIGURACIÓN!$B$4,1,1),0))&gt;=11,11,"")</f>
        <v>11</v>
      </c>
      <c r="M6" s="17">
        <f>IF(DAY(EOMONTH(DATE(CONFIGURACIÓN!$B$4,1,1),0))&gt;=12,12,"")</f>
        <v>12</v>
      </c>
      <c r="N6" s="17">
        <f>IF(DAY(EOMONTH(DATE(CONFIGURACIÓN!$B$4,1,1),0))&gt;=13,13,"")</f>
        <v>13</v>
      </c>
      <c r="O6" s="17">
        <f>IF(DAY(EOMONTH(DATE(CONFIGURACIÓN!$B$4,1,1),0))&gt;=14,14,"")</f>
        <v>14</v>
      </c>
      <c r="P6" s="17">
        <f>IF(DAY(EOMONTH(DATE(CONFIGURACIÓN!$B$4,1,1),0))&gt;=15,15,"")</f>
        <v>15</v>
      </c>
      <c r="Q6" s="17">
        <f>IF(DAY(EOMONTH(DATE(CONFIGURACIÓN!$B$4,1,1),0))&gt;=16,16,"")</f>
        <v>16</v>
      </c>
      <c r="R6" s="17">
        <f>IF(DAY(EOMONTH(DATE(CONFIGURACIÓN!$B$4,1,1),0))&gt;=17,17,"")</f>
        <v>17</v>
      </c>
      <c r="S6" s="17">
        <f>IF(DAY(EOMONTH(DATE(CONFIGURACIÓN!$B$4,1,1),0))&gt;=18,18,"")</f>
        <v>18</v>
      </c>
      <c r="T6" s="17">
        <f>IF(DAY(EOMONTH(DATE(CONFIGURACIÓN!$B$4,1,1),0))&gt;=19,19,"")</f>
        <v>19</v>
      </c>
      <c r="U6" s="17">
        <f>IF(DAY(EOMONTH(DATE(CONFIGURACIÓN!$B$4,1,1),0))&gt;=20,20,"")</f>
        <v>20</v>
      </c>
      <c r="V6" s="17">
        <f>IF(DAY(EOMONTH(DATE(CONFIGURACIÓN!$B$4,1,1),0))&gt;=21,21,"")</f>
        <v>21</v>
      </c>
      <c r="W6" s="17">
        <f>IF(DAY(EOMONTH(DATE(CONFIGURACIÓN!$B$4,1,1),0))&gt;=22,22,"")</f>
        <v>22</v>
      </c>
      <c r="X6" s="17">
        <f>IF(DAY(EOMONTH(DATE(CONFIGURACIÓN!$B$4,1,1),0))&gt;=23,23,"")</f>
        <v>23</v>
      </c>
      <c r="Y6" s="17">
        <f>IF(DAY(EOMONTH(DATE(CONFIGURACIÓN!$B$4,1,1),0))&gt;=24,24,"")</f>
        <v>24</v>
      </c>
      <c r="Z6" s="17">
        <f>IF(DAY(EOMONTH(DATE(CONFIGURACIÓN!$B$4,1,1),0))&gt;=25,25,"")</f>
        <v>25</v>
      </c>
      <c r="AA6" s="17">
        <f>IF(DAY(EOMONTH(DATE(CONFIGURACIÓN!$B$4,1,1),0))&gt;=26,26,"")</f>
        <v>26</v>
      </c>
      <c r="AB6" s="17">
        <f>IF(DAY(EOMONTH(DATE(CONFIGURACIÓN!$B$4,1,1),0))&gt;=27,27,"")</f>
        <v>27</v>
      </c>
      <c r="AC6" s="17">
        <f>IF(DAY(EOMONTH(DATE(CONFIGURACIÓN!$B$4,1,1),0))&gt;=28,28,"")</f>
        <v>28</v>
      </c>
      <c r="AD6" s="17">
        <f>IF(DAY(EOMONTH(DATE(CONFIGURACIÓN!$B$4,1,1),0))&gt;=29,29,"")</f>
        <v>29</v>
      </c>
      <c r="AE6" s="17">
        <f>IF(DAY(EOMONTH(DATE(CONFIGURACIÓN!$B$4,1,1),0))&gt;=30,30,"")</f>
        <v>30</v>
      </c>
      <c r="AF6" s="17">
        <f>IF(DAY(EOMONTH(DATE(CONFIGURACIÓN!$B$4,1,1),0))&gt;=31,31,"")</f>
        <v>31</v>
      </c>
    </row>
    <row r="7" spans="1:39" ht="21.95" customHeight="1">
      <c r="A7" s="63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64" t="s">
        <v>64</v>
      </c>
      <c r="B16" s="64"/>
      <c r="C16" s="64"/>
      <c r="D16" s="64"/>
      <c r="E16" s="64"/>
      <c r="F16" s="64"/>
      <c r="G16" s="64"/>
      <c r="H16" s="64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21" t="s">
        <v>47</v>
      </c>
      <c r="B17" s="21" t="s">
        <v>15</v>
      </c>
      <c r="C17" s="21" t="s">
        <v>66</v>
      </c>
      <c r="D17" s="21" t="s">
        <v>67</v>
      </c>
      <c r="E17" s="21" t="s">
        <v>68</v>
      </c>
      <c r="F17" s="21" t="s">
        <v>69</v>
      </c>
      <c r="G17" s="21" t="s">
        <v>61</v>
      </c>
      <c r="H17" s="21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22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22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22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22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22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22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</row>
    <row r="26" spans="1:32" ht="24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611" priority="1" operator="equal">
      <formula>"D"</formula>
    </cfRule>
    <cfRule type="cellIs" dxfId="610" priority="2" operator="equal">
      <formula>"S"</formula>
    </cfRule>
  </conditionalFormatting>
  <conditionalFormatting sqref="B8:AF13">
    <cfRule type="expression" dxfId="609" priority="3">
      <formula>AND(B8=$AG$1,$AG$2="VERDE")</formula>
    </cfRule>
    <cfRule type="expression" dxfId="608" priority="4">
      <formula>AND(B8=$AG$1,$AG$2="AZUL")</formula>
    </cfRule>
    <cfRule type="expression" dxfId="607" priority="5">
      <formula>AND(B8=$AG$1,$AG$2="TURQUESA")</formula>
    </cfRule>
    <cfRule type="expression" dxfId="606" priority="6">
      <formula>AND(B8=$AG$1,$AG$2="ROJO")</formula>
    </cfRule>
    <cfRule type="expression" dxfId="605" priority="7">
      <formula>AND(B8=$AG$1,$AG$2="VERDE CLARO")</formula>
    </cfRule>
    <cfRule type="expression" dxfId="604" priority="8">
      <formula>AND(B8=$AG$1,$AG$2="NARANJA")</formula>
    </cfRule>
    <cfRule type="expression" dxfId="603" priority="9">
      <formula>AND(B8=$AG$1,$AG$2="GRIS")</formula>
    </cfRule>
    <cfRule type="expression" dxfId="602" priority="10">
      <formula>AND(B8=$AH$1,$AH$2="VERDE")</formula>
    </cfRule>
    <cfRule type="expression" dxfId="601" priority="11">
      <formula>AND(B8=$AH$1,$AH$2="AZUL")</formula>
    </cfRule>
    <cfRule type="expression" dxfId="600" priority="12">
      <formula>AND(B8=$AH$1,$AH$2="TURQUESA")</formula>
    </cfRule>
    <cfRule type="expression" dxfId="599" priority="13">
      <formula>AND(B8=$AH$1,$AH$2="ROJO")</formula>
    </cfRule>
    <cfRule type="expression" dxfId="598" priority="14">
      <formula>AND(B8=$AH$1,$AH$2="VERDE CLARO")</formula>
    </cfRule>
    <cfRule type="expression" dxfId="597" priority="15">
      <formula>AND(B8=$AH$1,$AH$2="NARANJA")</formula>
    </cfRule>
    <cfRule type="expression" dxfId="596" priority="16">
      <formula>AND(B8=$AH$1,$AH$2="GRIS")</formula>
    </cfRule>
    <cfRule type="expression" dxfId="595" priority="17">
      <formula>AND(B8=$AI$1,$AI$2="VERDE")</formula>
    </cfRule>
    <cfRule type="expression" dxfId="594" priority="18">
      <formula>AND(B8=$AI$1,$AI$2="AZUL")</formula>
    </cfRule>
    <cfRule type="expression" dxfId="593" priority="19">
      <formula>AND(B8=$AI$1,$AI$2="TURQUESA")</formula>
    </cfRule>
    <cfRule type="expression" dxfId="592" priority="20">
      <formula>AND(B8=$AI$1,$AI$2="ROJO")</formula>
    </cfRule>
    <cfRule type="expression" dxfId="591" priority="21">
      <formula>AND(B8=$AI$1,$AI$2="VERDE CLARO")</formula>
    </cfRule>
    <cfRule type="expression" dxfId="590" priority="22">
      <formula>AND(B8=$AI$1,$AI$2="NARANJA")</formula>
    </cfRule>
    <cfRule type="expression" dxfId="589" priority="23">
      <formula>AND(B8=$AI$1,$AI$2="GRIS")</formula>
    </cfRule>
    <cfRule type="expression" dxfId="588" priority="24">
      <formula>AND(B8=$AJ$1,$AJ$2="VERDE")</formula>
    </cfRule>
    <cfRule type="expression" dxfId="587" priority="25">
      <formula>AND(B8=$AJ$1,$AJ$2="AZUL")</formula>
    </cfRule>
    <cfRule type="expression" dxfId="586" priority="26">
      <formula>AND(B8=$AJ$1,$AJ$2="TURQUESA")</formula>
    </cfRule>
    <cfRule type="expression" dxfId="585" priority="27">
      <formula>AND(B8=$AJ$1,$AJ$2="ROJO")</formula>
    </cfRule>
    <cfRule type="expression" dxfId="584" priority="28">
      <formula>AND(B8=$AJ$1,$AJ$2="VERDE CLARO")</formula>
    </cfRule>
    <cfRule type="expression" dxfId="583" priority="29">
      <formula>AND(B8=$AJ$1,$AJ$2="NARANJA")</formula>
    </cfRule>
    <cfRule type="expression" dxfId="582" priority="30">
      <formula>AND(B8=$AJ$1,$AJ$2="GRIS")</formula>
    </cfRule>
    <cfRule type="expression" dxfId="581" priority="31">
      <formula>AND(B8=$AK$1,$AK$2="VERDE")</formula>
    </cfRule>
    <cfRule type="expression" dxfId="580" priority="32">
      <formula>AND(B8=$AK$1,$AK$2="AZUL")</formula>
    </cfRule>
    <cfRule type="expression" dxfId="579" priority="33">
      <formula>AND(B8=$AK$1,$AK$2="TURQUESA")</formula>
    </cfRule>
    <cfRule type="expression" dxfId="578" priority="34">
      <formula>AND(B8=$AK$1,$AK$2="ROJO")</formula>
    </cfRule>
    <cfRule type="expression" dxfId="577" priority="35">
      <formula>AND(B8=$AK$1,$AK$2="VERDE CLARO")</formula>
    </cfRule>
    <cfRule type="expression" dxfId="576" priority="36">
      <formula>AND(B8=$AK$1,$AK$2="NARANJA")</formula>
    </cfRule>
    <cfRule type="expression" dxfId="575" priority="37">
      <formula>AND(B8=$AK$1,$AK$2="GRIS")</formula>
    </cfRule>
    <cfRule type="expression" dxfId="574" priority="38">
      <formula>AND(B8=$AL$1,$AL$2="VERDE")</formula>
    </cfRule>
    <cfRule type="expression" dxfId="573" priority="39">
      <formula>AND(B8=$AL$1,$AL$2="AZUL")</formula>
    </cfRule>
    <cfRule type="expression" dxfId="572" priority="40">
      <formula>AND(B8=$AL$1,$AL$2="TURQUESA")</formula>
    </cfRule>
    <cfRule type="expression" dxfId="571" priority="41">
      <formula>AND(B8=$AL$1,$AL$2="ROJO")</formula>
    </cfRule>
    <cfRule type="expression" dxfId="570" priority="42">
      <formula>AND(B8=$AL$1,$AL$2="VERDE CLARO")</formula>
    </cfRule>
    <cfRule type="expression" dxfId="569" priority="43">
      <formula>AND(B8=$AL$1,$AL$2="NARANJA")</formula>
    </cfRule>
    <cfRule type="expression" dxfId="568" priority="44">
      <formula>AND(B8=$AL$1,$AL$2="GRIS")</formula>
    </cfRule>
    <cfRule type="expression" dxfId="567" priority="45">
      <formula>AND(B8=$AM$1,$AM$2="VERDE")</formula>
    </cfRule>
    <cfRule type="expression" dxfId="566" priority="46">
      <formula>AND(B8=$AM$1,$AM$2="AZUL")</formula>
    </cfRule>
    <cfRule type="expression" dxfId="565" priority="47">
      <formula>AND(B8=$AM$1,$AM$2="TURQUESA")</formula>
    </cfRule>
    <cfRule type="expression" dxfId="564" priority="48">
      <formula>AND(B8=$AM$1,$AM$2="ROJO")</formula>
    </cfRule>
    <cfRule type="expression" dxfId="563" priority="49">
      <formula>AND(B8=$AM$1,$AM$2="VERDE CLARO")</formula>
    </cfRule>
    <cfRule type="expression" dxfId="562" priority="50">
      <formula>AND(B8=$AM$1,$AM$2="NARANJA")</formula>
    </cfRule>
    <cfRule type="expression" dxfId="561" priority="51">
      <formula>AND(B8=$AM$1,$AM$2="GRIS")</formula>
    </cfRule>
  </conditionalFormatting>
  <dataValidations count="1">
    <dataValidation type="list" sqref="B8:AF13" xr:uid="{00000000-0002-0000-0200-000000000000}">
      <formula1>$AG$1:$AM$1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75" t="s">
        <v>62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76" t="str">
        <f>"FEBRERO "&amp;CONFIGURACIÓN!B4&amp;" · "&amp;CONFIGURACIÓN!B5</f>
        <v>FEBRERO 2026 · CENTRO DE TRABAJO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77" t="s">
        <v>63</v>
      </c>
      <c r="B5" s="23" t="str">
        <f>IF(DAY(EOMONTH(DATE(CONFIGURACIÓN!$B$4,2,1),0))&gt;=1,CHOOSE(WEEKDAY(DATE(CONFIGURACIÓN!$B$4,2,1),2),"L","M","X","J","V","S","D"),"")</f>
        <v>D</v>
      </c>
      <c r="C5" s="23" t="str">
        <f>IF(DAY(EOMONTH(DATE(CONFIGURACIÓN!$B$4,2,1),0))&gt;=2,CHOOSE(WEEKDAY(DATE(CONFIGURACIÓN!$B$4,2,2),2),"L","M","X","J","V","S","D"),"")</f>
        <v>L</v>
      </c>
      <c r="D5" s="23" t="str">
        <f>IF(DAY(EOMONTH(DATE(CONFIGURACIÓN!$B$4,2,1),0))&gt;=3,CHOOSE(WEEKDAY(DATE(CONFIGURACIÓN!$B$4,2,3),2),"L","M","X","J","V","S","D"),"")</f>
        <v>M</v>
      </c>
      <c r="E5" s="23" t="str">
        <f>IF(DAY(EOMONTH(DATE(CONFIGURACIÓN!$B$4,2,1),0))&gt;=4,CHOOSE(WEEKDAY(DATE(CONFIGURACIÓN!$B$4,2,4),2),"L","M","X","J","V","S","D"),"")</f>
        <v>X</v>
      </c>
      <c r="F5" s="23" t="str">
        <f>IF(DAY(EOMONTH(DATE(CONFIGURACIÓN!$B$4,2,1),0))&gt;=5,CHOOSE(WEEKDAY(DATE(CONFIGURACIÓN!$B$4,2,5),2),"L","M","X","J","V","S","D"),"")</f>
        <v>J</v>
      </c>
      <c r="G5" s="23" t="str">
        <f>IF(DAY(EOMONTH(DATE(CONFIGURACIÓN!$B$4,2,1),0))&gt;=6,CHOOSE(WEEKDAY(DATE(CONFIGURACIÓN!$B$4,2,6),2),"L","M","X","J","V","S","D"),"")</f>
        <v>V</v>
      </c>
      <c r="H5" s="23" t="str">
        <f>IF(DAY(EOMONTH(DATE(CONFIGURACIÓN!$B$4,2,1),0))&gt;=7,CHOOSE(WEEKDAY(DATE(CONFIGURACIÓN!$B$4,2,7),2),"L","M","X","J","V","S","D"),"")</f>
        <v>S</v>
      </c>
      <c r="I5" s="23" t="str">
        <f>IF(DAY(EOMONTH(DATE(CONFIGURACIÓN!$B$4,2,1),0))&gt;=8,CHOOSE(WEEKDAY(DATE(CONFIGURACIÓN!$B$4,2,8),2),"L","M","X","J","V","S","D"),"")</f>
        <v>D</v>
      </c>
      <c r="J5" s="23" t="str">
        <f>IF(DAY(EOMONTH(DATE(CONFIGURACIÓN!$B$4,2,1),0))&gt;=9,CHOOSE(WEEKDAY(DATE(CONFIGURACIÓN!$B$4,2,9),2),"L","M","X","J","V","S","D"),"")</f>
        <v>L</v>
      </c>
      <c r="K5" s="23" t="str">
        <f>IF(DAY(EOMONTH(DATE(CONFIGURACIÓN!$B$4,2,1),0))&gt;=10,CHOOSE(WEEKDAY(DATE(CONFIGURACIÓN!$B$4,2,10),2),"L","M","X","J","V","S","D"),"")</f>
        <v>M</v>
      </c>
      <c r="L5" s="23" t="str">
        <f>IF(DAY(EOMONTH(DATE(CONFIGURACIÓN!$B$4,2,1),0))&gt;=11,CHOOSE(WEEKDAY(DATE(CONFIGURACIÓN!$B$4,2,11),2),"L","M","X","J","V","S","D"),"")</f>
        <v>X</v>
      </c>
      <c r="M5" s="23" t="str">
        <f>IF(DAY(EOMONTH(DATE(CONFIGURACIÓN!$B$4,2,1),0))&gt;=12,CHOOSE(WEEKDAY(DATE(CONFIGURACIÓN!$B$4,2,12),2),"L","M","X","J","V","S","D"),"")</f>
        <v>J</v>
      </c>
      <c r="N5" s="23" t="str">
        <f>IF(DAY(EOMONTH(DATE(CONFIGURACIÓN!$B$4,2,1),0))&gt;=13,CHOOSE(WEEKDAY(DATE(CONFIGURACIÓN!$B$4,2,13),2),"L","M","X","J","V","S","D"),"")</f>
        <v>V</v>
      </c>
      <c r="O5" s="23" t="str">
        <f>IF(DAY(EOMONTH(DATE(CONFIGURACIÓN!$B$4,2,1),0))&gt;=14,CHOOSE(WEEKDAY(DATE(CONFIGURACIÓN!$B$4,2,14),2),"L","M","X","J","V","S","D"),"")</f>
        <v>S</v>
      </c>
      <c r="P5" s="23" t="str">
        <f>IF(DAY(EOMONTH(DATE(CONFIGURACIÓN!$B$4,2,1),0))&gt;=15,CHOOSE(WEEKDAY(DATE(CONFIGURACIÓN!$B$4,2,15),2),"L","M","X","J","V","S","D"),"")</f>
        <v>D</v>
      </c>
      <c r="Q5" s="23" t="str">
        <f>IF(DAY(EOMONTH(DATE(CONFIGURACIÓN!$B$4,2,1),0))&gt;=16,CHOOSE(WEEKDAY(DATE(CONFIGURACIÓN!$B$4,2,16),2),"L","M","X","J","V","S","D"),"")</f>
        <v>L</v>
      </c>
      <c r="R5" s="23" t="str">
        <f>IF(DAY(EOMONTH(DATE(CONFIGURACIÓN!$B$4,2,1),0))&gt;=17,CHOOSE(WEEKDAY(DATE(CONFIGURACIÓN!$B$4,2,17),2),"L","M","X","J","V","S","D"),"")</f>
        <v>M</v>
      </c>
      <c r="S5" s="23" t="str">
        <f>IF(DAY(EOMONTH(DATE(CONFIGURACIÓN!$B$4,2,1),0))&gt;=18,CHOOSE(WEEKDAY(DATE(CONFIGURACIÓN!$B$4,2,18),2),"L","M","X","J","V","S","D"),"")</f>
        <v>X</v>
      </c>
      <c r="T5" s="23" t="str">
        <f>IF(DAY(EOMONTH(DATE(CONFIGURACIÓN!$B$4,2,1),0))&gt;=19,CHOOSE(WEEKDAY(DATE(CONFIGURACIÓN!$B$4,2,19),2),"L","M","X","J","V","S","D"),"")</f>
        <v>J</v>
      </c>
      <c r="U5" s="23" t="str">
        <f>IF(DAY(EOMONTH(DATE(CONFIGURACIÓN!$B$4,2,1),0))&gt;=20,CHOOSE(WEEKDAY(DATE(CONFIGURACIÓN!$B$4,2,20),2),"L","M","X","J","V","S","D"),"")</f>
        <v>V</v>
      </c>
      <c r="V5" s="23" t="str">
        <f>IF(DAY(EOMONTH(DATE(CONFIGURACIÓN!$B$4,2,1),0))&gt;=21,CHOOSE(WEEKDAY(DATE(CONFIGURACIÓN!$B$4,2,21),2),"L","M","X","J","V","S","D"),"")</f>
        <v>S</v>
      </c>
      <c r="W5" s="23" t="str">
        <f>IF(DAY(EOMONTH(DATE(CONFIGURACIÓN!$B$4,2,1),0))&gt;=22,CHOOSE(WEEKDAY(DATE(CONFIGURACIÓN!$B$4,2,22),2),"L","M","X","J","V","S","D"),"")</f>
        <v>D</v>
      </c>
      <c r="X5" s="23" t="str">
        <f>IF(DAY(EOMONTH(DATE(CONFIGURACIÓN!$B$4,2,1),0))&gt;=23,CHOOSE(WEEKDAY(DATE(CONFIGURACIÓN!$B$4,2,23),2),"L","M","X","J","V","S","D"),"")</f>
        <v>L</v>
      </c>
      <c r="Y5" s="23" t="str">
        <f>IF(DAY(EOMONTH(DATE(CONFIGURACIÓN!$B$4,2,1),0))&gt;=24,CHOOSE(WEEKDAY(DATE(CONFIGURACIÓN!$B$4,2,24),2),"L","M","X","J","V","S","D"),"")</f>
        <v>M</v>
      </c>
      <c r="Z5" s="23" t="str">
        <f>IF(DAY(EOMONTH(DATE(CONFIGURACIÓN!$B$4,2,1),0))&gt;=25,CHOOSE(WEEKDAY(DATE(CONFIGURACIÓN!$B$4,2,25),2),"L","M","X","J","V","S","D"),"")</f>
        <v>X</v>
      </c>
      <c r="AA5" s="23" t="str">
        <f>IF(DAY(EOMONTH(DATE(CONFIGURACIÓN!$B$4,2,1),0))&gt;=26,CHOOSE(WEEKDAY(DATE(CONFIGURACIÓN!$B$4,2,26),2),"L","M","X","J","V","S","D"),"")</f>
        <v>J</v>
      </c>
      <c r="AB5" s="23" t="str">
        <f>IF(DAY(EOMONTH(DATE(CONFIGURACIÓN!$B$4,2,1),0))&gt;=27,CHOOSE(WEEKDAY(DATE(CONFIGURACIÓN!$B$4,2,27),2),"L","M","X","J","V","S","D"),"")</f>
        <v>V</v>
      </c>
      <c r="AC5" s="23" t="str">
        <f>IF(DAY(EOMONTH(DATE(CONFIGURACIÓN!$B$4,2,1),0))&gt;=28,CHOOSE(WEEKDAY(DATE(CONFIGURACIÓN!$B$4,2,28),2),"L","M","X","J","V","S","D"),"")</f>
        <v>S</v>
      </c>
      <c r="AD5" s="23" t="str">
        <f>IF(DAY(EOMONTH(DATE(CONFIGURACIÓN!$B$4,2,1),0))&gt;=29,CHOOSE(WEEKDAY(DATE(CONFIGURACIÓN!$B$4,2,29),2),"L","M","X","J","V","S","D"),"")</f>
        <v/>
      </c>
      <c r="AE5" s="23" t="str">
        <f>IF(DAY(EOMONTH(DATE(CONFIGURACIÓN!$B$4,2,1),0))&gt;=30,CHOOSE(WEEKDAY(DATE(CONFIGURACIÓN!$B$4,2,30),2),"L","M","X","J","V","S","D"),"")</f>
        <v/>
      </c>
      <c r="AF5" s="23" t="str">
        <f>IF(DAY(EOMONTH(DATE(CONFIGURACIÓN!$B$4,2,1),0))&gt;=31,CHOOSE(WEEKDAY(DATE(CONFIGURACIÓN!$B$4,2,31),2),"L","M","X","J","V","S","D"),"")</f>
        <v/>
      </c>
    </row>
    <row r="6" spans="1:39" ht="21.95" customHeight="1">
      <c r="A6" s="77"/>
      <c r="B6" s="23">
        <f>IF(DAY(EOMONTH(DATE(CONFIGURACIÓN!$B$4,2,1),0))&gt;=1,1,"")</f>
        <v>1</v>
      </c>
      <c r="C6" s="23">
        <f>IF(DAY(EOMONTH(DATE(CONFIGURACIÓN!$B$4,2,1),0))&gt;=2,2,"")</f>
        <v>2</v>
      </c>
      <c r="D6" s="23">
        <f>IF(DAY(EOMONTH(DATE(CONFIGURACIÓN!$B$4,2,1),0))&gt;=3,3,"")</f>
        <v>3</v>
      </c>
      <c r="E6" s="23">
        <f>IF(DAY(EOMONTH(DATE(CONFIGURACIÓN!$B$4,2,1),0))&gt;=4,4,"")</f>
        <v>4</v>
      </c>
      <c r="F6" s="23">
        <f>IF(DAY(EOMONTH(DATE(CONFIGURACIÓN!$B$4,2,1),0))&gt;=5,5,"")</f>
        <v>5</v>
      </c>
      <c r="G6" s="23">
        <f>IF(DAY(EOMONTH(DATE(CONFIGURACIÓN!$B$4,2,1),0))&gt;=6,6,"")</f>
        <v>6</v>
      </c>
      <c r="H6" s="23">
        <f>IF(DAY(EOMONTH(DATE(CONFIGURACIÓN!$B$4,2,1),0))&gt;=7,7,"")</f>
        <v>7</v>
      </c>
      <c r="I6" s="23">
        <f>IF(DAY(EOMONTH(DATE(CONFIGURACIÓN!$B$4,2,1),0))&gt;=8,8,"")</f>
        <v>8</v>
      </c>
      <c r="J6" s="23">
        <f>IF(DAY(EOMONTH(DATE(CONFIGURACIÓN!$B$4,2,1),0))&gt;=9,9,"")</f>
        <v>9</v>
      </c>
      <c r="K6" s="23">
        <f>IF(DAY(EOMONTH(DATE(CONFIGURACIÓN!$B$4,2,1),0))&gt;=10,10,"")</f>
        <v>10</v>
      </c>
      <c r="L6" s="23">
        <f>IF(DAY(EOMONTH(DATE(CONFIGURACIÓN!$B$4,2,1),0))&gt;=11,11,"")</f>
        <v>11</v>
      </c>
      <c r="M6" s="23">
        <f>IF(DAY(EOMONTH(DATE(CONFIGURACIÓN!$B$4,2,1),0))&gt;=12,12,"")</f>
        <v>12</v>
      </c>
      <c r="N6" s="23">
        <f>IF(DAY(EOMONTH(DATE(CONFIGURACIÓN!$B$4,2,1),0))&gt;=13,13,"")</f>
        <v>13</v>
      </c>
      <c r="O6" s="23">
        <f>IF(DAY(EOMONTH(DATE(CONFIGURACIÓN!$B$4,2,1),0))&gt;=14,14,"")</f>
        <v>14</v>
      </c>
      <c r="P6" s="23">
        <f>IF(DAY(EOMONTH(DATE(CONFIGURACIÓN!$B$4,2,1),0))&gt;=15,15,"")</f>
        <v>15</v>
      </c>
      <c r="Q6" s="23">
        <f>IF(DAY(EOMONTH(DATE(CONFIGURACIÓN!$B$4,2,1),0))&gt;=16,16,"")</f>
        <v>16</v>
      </c>
      <c r="R6" s="23">
        <f>IF(DAY(EOMONTH(DATE(CONFIGURACIÓN!$B$4,2,1),0))&gt;=17,17,"")</f>
        <v>17</v>
      </c>
      <c r="S6" s="23">
        <f>IF(DAY(EOMONTH(DATE(CONFIGURACIÓN!$B$4,2,1),0))&gt;=18,18,"")</f>
        <v>18</v>
      </c>
      <c r="T6" s="23">
        <f>IF(DAY(EOMONTH(DATE(CONFIGURACIÓN!$B$4,2,1),0))&gt;=19,19,"")</f>
        <v>19</v>
      </c>
      <c r="U6" s="23">
        <f>IF(DAY(EOMONTH(DATE(CONFIGURACIÓN!$B$4,2,1),0))&gt;=20,20,"")</f>
        <v>20</v>
      </c>
      <c r="V6" s="23">
        <f>IF(DAY(EOMONTH(DATE(CONFIGURACIÓN!$B$4,2,1),0))&gt;=21,21,"")</f>
        <v>21</v>
      </c>
      <c r="W6" s="23">
        <f>IF(DAY(EOMONTH(DATE(CONFIGURACIÓN!$B$4,2,1),0))&gt;=22,22,"")</f>
        <v>22</v>
      </c>
      <c r="X6" s="23">
        <f>IF(DAY(EOMONTH(DATE(CONFIGURACIÓN!$B$4,2,1),0))&gt;=23,23,"")</f>
        <v>23</v>
      </c>
      <c r="Y6" s="23">
        <f>IF(DAY(EOMONTH(DATE(CONFIGURACIÓN!$B$4,2,1),0))&gt;=24,24,"")</f>
        <v>24</v>
      </c>
      <c r="Z6" s="23">
        <f>IF(DAY(EOMONTH(DATE(CONFIGURACIÓN!$B$4,2,1),0))&gt;=25,25,"")</f>
        <v>25</v>
      </c>
      <c r="AA6" s="23">
        <f>IF(DAY(EOMONTH(DATE(CONFIGURACIÓN!$B$4,2,1),0))&gt;=26,26,"")</f>
        <v>26</v>
      </c>
      <c r="AB6" s="23">
        <f>IF(DAY(EOMONTH(DATE(CONFIGURACIÓN!$B$4,2,1),0))&gt;=27,27,"")</f>
        <v>27</v>
      </c>
      <c r="AC6" s="23">
        <f>IF(DAY(EOMONTH(DATE(CONFIGURACIÓN!$B$4,2,1),0))&gt;=28,28,"")</f>
        <v>28</v>
      </c>
      <c r="AD6" s="23" t="str">
        <f>IF(DAY(EOMONTH(DATE(CONFIGURACIÓN!$B$4,2,1),0))&gt;=29,29,"")</f>
        <v/>
      </c>
      <c r="AE6" s="23" t="str">
        <f>IF(DAY(EOMONTH(DATE(CONFIGURACIÓN!$B$4,2,1),0))&gt;=30,30,"")</f>
        <v/>
      </c>
      <c r="AF6" s="23" t="str">
        <f>IF(DAY(EOMONTH(DATE(CONFIGURACIÓN!$B$4,2,1),0))&gt;=31,31,"")</f>
        <v/>
      </c>
    </row>
    <row r="7" spans="1:39" ht="21.95" customHeight="1">
      <c r="A7" s="7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78" t="s">
        <v>64</v>
      </c>
      <c r="B16" s="78"/>
      <c r="C16" s="78"/>
      <c r="D16" s="78"/>
      <c r="E16" s="78"/>
      <c r="F16" s="78"/>
      <c r="G16" s="78"/>
      <c r="H16" s="7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24" t="s">
        <v>47</v>
      </c>
      <c r="B17" s="24" t="s">
        <v>15</v>
      </c>
      <c r="C17" s="24" t="s">
        <v>66</v>
      </c>
      <c r="D17" s="24" t="s">
        <v>67</v>
      </c>
      <c r="E17" s="24" t="s">
        <v>68</v>
      </c>
      <c r="F17" s="24" t="s">
        <v>69</v>
      </c>
      <c r="G17" s="24" t="s">
        <v>61</v>
      </c>
      <c r="H17" s="24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25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25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25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25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25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25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</row>
    <row r="26" spans="1:32" ht="24" customHeight="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560" priority="1" operator="equal">
      <formula>"D"</formula>
    </cfRule>
    <cfRule type="cellIs" dxfId="559" priority="2" operator="equal">
      <formula>"S"</formula>
    </cfRule>
  </conditionalFormatting>
  <conditionalFormatting sqref="B8:AF13">
    <cfRule type="expression" dxfId="558" priority="3">
      <formula>AND(B8=$AG$1,$AG$2="VERDE")</formula>
    </cfRule>
    <cfRule type="expression" dxfId="557" priority="4">
      <formula>AND(B8=$AG$1,$AG$2="AZUL")</formula>
    </cfRule>
    <cfRule type="expression" dxfId="556" priority="5">
      <formula>AND(B8=$AG$1,$AG$2="TURQUESA")</formula>
    </cfRule>
    <cfRule type="expression" dxfId="555" priority="6">
      <formula>AND(B8=$AG$1,$AG$2="ROJO")</formula>
    </cfRule>
    <cfRule type="expression" dxfId="554" priority="7">
      <formula>AND(B8=$AG$1,$AG$2="VERDE CLARO")</formula>
    </cfRule>
    <cfRule type="expression" dxfId="553" priority="8">
      <formula>AND(B8=$AG$1,$AG$2="NARANJA")</formula>
    </cfRule>
    <cfRule type="expression" dxfId="552" priority="9">
      <formula>AND(B8=$AG$1,$AG$2="GRIS")</formula>
    </cfRule>
    <cfRule type="expression" dxfId="551" priority="10">
      <formula>AND(B8=$AH$1,$AH$2="VERDE")</formula>
    </cfRule>
    <cfRule type="expression" dxfId="550" priority="11">
      <formula>AND(B8=$AH$1,$AH$2="AZUL")</formula>
    </cfRule>
    <cfRule type="expression" dxfId="549" priority="12">
      <formula>AND(B8=$AH$1,$AH$2="TURQUESA")</formula>
    </cfRule>
    <cfRule type="expression" dxfId="548" priority="13">
      <formula>AND(B8=$AH$1,$AH$2="ROJO")</formula>
    </cfRule>
    <cfRule type="expression" dxfId="547" priority="14">
      <formula>AND(B8=$AH$1,$AH$2="VERDE CLARO")</formula>
    </cfRule>
    <cfRule type="expression" dxfId="546" priority="15">
      <formula>AND(B8=$AH$1,$AH$2="NARANJA")</formula>
    </cfRule>
    <cfRule type="expression" dxfId="545" priority="16">
      <formula>AND(B8=$AH$1,$AH$2="GRIS")</formula>
    </cfRule>
    <cfRule type="expression" dxfId="544" priority="17">
      <formula>AND(B8=$AI$1,$AI$2="VERDE")</formula>
    </cfRule>
    <cfRule type="expression" dxfId="543" priority="18">
      <formula>AND(B8=$AI$1,$AI$2="AZUL")</formula>
    </cfRule>
    <cfRule type="expression" dxfId="542" priority="19">
      <formula>AND(B8=$AI$1,$AI$2="TURQUESA")</formula>
    </cfRule>
    <cfRule type="expression" dxfId="541" priority="20">
      <formula>AND(B8=$AI$1,$AI$2="ROJO")</formula>
    </cfRule>
    <cfRule type="expression" dxfId="540" priority="21">
      <formula>AND(B8=$AI$1,$AI$2="VERDE CLARO")</formula>
    </cfRule>
    <cfRule type="expression" dxfId="539" priority="22">
      <formula>AND(B8=$AI$1,$AI$2="NARANJA")</formula>
    </cfRule>
    <cfRule type="expression" dxfId="538" priority="23">
      <formula>AND(B8=$AI$1,$AI$2="GRIS")</formula>
    </cfRule>
    <cfRule type="expression" dxfId="537" priority="24">
      <formula>AND(B8=$AJ$1,$AJ$2="VERDE")</formula>
    </cfRule>
    <cfRule type="expression" dxfId="536" priority="25">
      <formula>AND(B8=$AJ$1,$AJ$2="AZUL")</formula>
    </cfRule>
    <cfRule type="expression" dxfId="535" priority="26">
      <formula>AND(B8=$AJ$1,$AJ$2="TURQUESA")</formula>
    </cfRule>
    <cfRule type="expression" dxfId="534" priority="27">
      <formula>AND(B8=$AJ$1,$AJ$2="ROJO")</formula>
    </cfRule>
    <cfRule type="expression" dxfId="533" priority="28">
      <formula>AND(B8=$AJ$1,$AJ$2="VERDE CLARO")</formula>
    </cfRule>
    <cfRule type="expression" dxfId="532" priority="29">
      <formula>AND(B8=$AJ$1,$AJ$2="NARANJA")</formula>
    </cfRule>
    <cfRule type="expression" dxfId="531" priority="30">
      <formula>AND(B8=$AJ$1,$AJ$2="GRIS")</formula>
    </cfRule>
    <cfRule type="expression" dxfId="530" priority="31">
      <formula>AND(B8=$AK$1,$AK$2="VERDE")</formula>
    </cfRule>
    <cfRule type="expression" dxfId="529" priority="32">
      <formula>AND(B8=$AK$1,$AK$2="AZUL")</formula>
    </cfRule>
    <cfRule type="expression" dxfId="528" priority="33">
      <formula>AND(B8=$AK$1,$AK$2="TURQUESA")</formula>
    </cfRule>
    <cfRule type="expression" dxfId="527" priority="34">
      <formula>AND(B8=$AK$1,$AK$2="ROJO")</formula>
    </cfRule>
    <cfRule type="expression" dxfId="526" priority="35">
      <formula>AND(B8=$AK$1,$AK$2="VERDE CLARO")</formula>
    </cfRule>
    <cfRule type="expression" dxfId="525" priority="36">
      <formula>AND(B8=$AK$1,$AK$2="NARANJA")</formula>
    </cfRule>
    <cfRule type="expression" dxfId="524" priority="37">
      <formula>AND(B8=$AK$1,$AK$2="GRIS")</formula>
    </cfRule>
    <cfRule type="expression" dxfId="523" priority="38">
      <formula>AND(B8=$AL$1,$AL$2="VERDE")</formula>
    </cfRule>
    <cfRule type="expression" dxfId="522" priority="39">
      <formula>AND(B8=$AL$1,$AL$2="AZUL")</formula>
    </cfRule>
    <cfRule type="expression" dxfId="521" priority="40">
      <formula>AND(B8=$AL$1,$AL$2="TURQUESA")</formula>
    </cfRule>
    <cfRule type="expression" dxfId="520" priority="41">
      <formula>AND(B8=$AL$1,$AL$2="ROJO")</formula>
    </cfRule>
    <cfRule type="expression" dxfId="519" priority="42">
      <formula>AND(B8=$AL$1,$AL$2="VERDE CLARO")</formula>
    </cfRule>
    <cfRule type="expression" dxfId="518" priority="43">
      <formula>AND(B8=$AL$1,$AL$2="NARANJA")</formula>
    </cfRule>
    <cfRule type="expression" dxfId="517" priority="44">
      <formula>AND(B8=$AL$1,$AL$2="GRIS")</formula>
    </cfRule>
    <cfRule type="expression" dxfId="516" priority="45">
      <formula>AND(B8=$AM$1,$AM$2="VERDE")</formula>
    </cfRule>
    <cfRule type="expression" dxfId="515" priority="46">
      <formula>AND(B8=$AM$1,$AM$2="AZUL")</formula>
    </cfRule>
    <cfRule type="expression" dxfId="514" priority="47">
      <formula>AND(B8=$AM$1,$AM$2="TURQUESA")</formula>
    </cfRule>
    <cfRule type="expression" dxfId="513" priority="48">
      <formula>AND(B8=$AM$1,$AM$2="ROJO")</formula>
    </cfRule>
    <cfRule type="expression" dxfId="512" priority="49">
      <formula>AND(B8=$AM$1,$AM$2="VERDE CLARO")</formula>
    </cfRule>
    <cfRule type="expression" dxfId="511" priority="50">
      <formula>AND(B8=$AM$1,$AM$2="NARANJA")</formula>
    </cfRule>
    <cfRule type="expression" dxfId="510" priority="51">
      <formula>AND(B8=$AM$1,$AM$2="GRIS")</formula>
    </cfRule>
  </conditionalFormatting>
  <dataValidations count="1">
    <dataValidation type="list" sqref="B8:AF13" xr:uid="{00000000-0002-0000-0300-000000000000}">
      <formula1>$AG$1:$AM$1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80" t="s">
        <v>62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81" t="str">
        <f>"MARZO "&amp;CONFIGURACIÓN!B4&amp;" · "&amp;CONFIGURACIÓN!B5</f>
        <v>MARZO 2026 · CENTRO DE TRABAJO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82" t="s">
        <v>63</v>
      </c>
      <c r="B5" s="26" t="str">
        <f>IF(DAY(EOMONTH(DATE(CONFIGURACIÓN!$B$4,3,1),0))&gt;=1,CHOOSE(WEEKDAY(DATE(CONFIGURACIÓN!$B$4,3,1),2),"L","M","X","J","V","S","D"),"")</f>
        <v>D</v>
      </c>
      <c r="C5" s="26" t="str">
        <f>IF(DAY(EOMONTH(DATE(CONFIGURACIÓN!$B$4,3,1),0))&gt;=2,CHOOSE(WEEKDAY(DATE(CONFIGURACIÓN!$B$4,3,2),2),"L","M","X","J","V","S","D"),"")</f>
        <v>L</v>
      </c>
      <c r="D5" s="26" t="str">
        <f>IF(DAY(EOMONTH(DATE(CONFIGURACIÓN!$B$4,3,1),0))&gt;=3,CHOOSE(WEEKDAY(DATE(CONFIGURACIÓN!$B$4,3,3),2),"L","M","X","J","V","S","D"),"")</f>
        <v>M</v>
      </c>
      <c r="E5" s="26" t="str">
        <f>IF(DAY(EOMONTH(DATE(CONFIGURACIÓN!$B$4,3,1),0))&gt;=4,CHOOSE(WEEKDAY(DATE(CONFIGURACIÓN!$B$4,3,4),2),"L","M","X","J","V","S","D"),"")</f>
        <v>X</v>
      </c>
      <c r="F5" s="26" t="str">
        <f>IF(DAY(EOMONTH(DATE(CONFIGURACIÓN!$B$4,3,1),0))&gt;=5,CHOOSE(WEEKDAY(DATE(CONFIGURACIÓN!$B$4,3,5),2),"L","M","X","J","V","S","D"),"")</f>
        <v>J</v>
      </c>
      <c r="G5" s="26" t="str">
        <f>IF(DAY(EOMONTH(DATE(CONFIGURACIÓN!$B$4,3,1),0))&gt;=6,CHOOSE(WEEKDAY(DATE(CONFIGURACIÓN!$B$4,3,6),2),"L","M","X","J","V","S","D"),"")</f>
        <v>V</v>
      </c>
      <c r="H5" s="26" t="str">
        <f>IF(DAY(EOMONTH(DATE(CONFIGURACIÓN!$B$4,3,1),0))&gt;=7,CHOOSE(WEEKDAY(DATE(CONFIGURACIÓN!$B$4,3,7),2),"L","M","X","J","V","S","D"),"")</f>
        <v>S</v>
      </c>
      <c r="I5" s="26" t="str">
        <f>IF(DAY(EOMONTH(DATE(CONFIGURACIÓN!$B$4,3,1),0))&gt;=8,CHOOSE(WEEKDAY(DATE(CONFIGURACIÓN!$B$4,3,8),2),"L","M","X","J","V","S","D"),"")</f>
        <v>D</v>
      </c>
      <c r="J5" s="26" t="str">
        <f>IF(DAY(EOMONTH(DATE(CONFIGURACIÓN!$B$4,3,1),0))&gt;=9,CHOOSE(WEEKDAY(DATE(CONFIGURACIÓN!$B$4,3,9),2),"L","M","X","J","V","S","D"),"")</f>
        <v>L</v>
      </c>
      <c r="K5" s="26" t="str">
        <f>IF(DAY(EOMONTH(DATE(CONFIGURACIÓN!$B$4,3,1),0))&gt;=10,CHOOSE(WEEKDAY(DATE(CONFIGURACIÓN!$B$4,3,10),2),"L","M","X","J","V","S","D"),"")</f>
        <v>M</v>
      </c>
      <c r="L5" s="26" t="str">
        <f>IF(DAY(EOMONTH(DATE(CONFIGURACIÓN!$B$4,3,1),0))&gt;=11,CHOOSE(WEEKDAY(DATE(CONFIGURACIÓN!$B$4,3,11),2),"L","M","X","J","V","S","D"),"")</f>
        <v>X</v>
      </c>
      <c r="M5" s="26" t="str">
        <f>IF(DAY(EOMONTH(DATE(CONFIGURACIÓN!$B$4,3,1),0))&gt;=12,CHOOSE(WEEKDAY(DATE(CONFIGURACIÓN!$B$4,3,12),2),"L","M","X","J","V","S","D"),"")</f>
        <v>J</v>
      </c>
      <c r="N5" s="26" t="str">
        <f>IF(DAY(EOMONTH(DATE(CONFIGURACIÓN!$B$4,3,1),0))&gt;=13,CHOOSE(WEEKDAY(DATE(CONFIGURACIÓN!$B$4,3,13),2),"L","M","X","J","V","S","D"),"")</f>
        <v>V</v>
      </c>
      <c r="O5" s="26" t="str">
        <f>IF(DAY(EOMONTH(DATE(CONFIGURACIÓN!$B$4,3,1),0))&gt;=14,CHOOSE(WEEKDAY(DATE(CONFIGURACIÓN!$B$4,3,14),2),"L","M","X","J","V","S","D"),"")</f>
        <v>S</v>
      </c>
      <c r="P5" s="26" t="str">
        <f>IF(DAY(EOMONTH(DATE(CONFIGURACIÓN!$B$4,3,1),0))&gt;=15,CHOOSE(WEEKDAY(DATE(CONFIGURACIÓN!$B$4,3,15),2),"L","M","X","J","V","S","D"),"")</f>
        <v>D</v>
      </c>
      <c r="Q5" s="26" t="str">
        <f>IF(DAY(EOMONTH(DATE(CONFIGURACIÓN!$B$4,3,1),0))&gt;=16,CHOOSE(WEEKDAY(DATE(CONFIGURACIÓN!$B$4,3,16),2),"L","M","X","J","V","S","D"),"")</f>
        <v>L</v>
      </c>
      <c r="R5" s="26" t="str">
        <f>IF(DAY(EOMONTH(DATE(CONFIGURACIÓN!$B$4,3,1),0))&gt;=17,CHOOSE(WEEKDAY(DATE(CONFIGURACIÓN!$B$4,3,17),2),"L","M","X","J","V","S","D"),"")</f>
        <v>M</v>
      </c>
      <c r="S5" s="26" t="str">
        <f>IF(DAY(EOMONTH(DATE(CONFIGURACIÓN!$B$4,3,1),0))&gt;=18,CHOOSE(WEEKDAY(DATE(CONFIGURACIÓN!$B$4,3,18),2),"L","M","X","J","V","S","D"),"")</f>
        <v>X</v>
      </c>
      <c r="T5" s="26" t="str">
        <f>IF(DAY(EOMONTH(DATE(CONFIGURACIÓN!$B$4,3,1),0))&gt;=19,CHOOSE(WEEKDAY(DATE(CONFIGURACIÓN!$B$4,3,19),2),"L","M","X","J","V","S","D"),"")</f>
        <v>J</v>
      </c>
      <c r="U5" s="26" t="str">
        <f>IF(DAY(EOMONTH(DATE(CONFIGURACIÓN!$B$4,3,1),0))&gt;=20,CHOOSE(WEEKDAY(DATE(CONFIGURACIÓN!$B$4,3,20),2),"L","M","X","J","V","S","D"),"")</f>
        <v>V</v>
      </c>
      <c r="V5" s="26" t="str">
        <f>IF(DAY(EOMONTH(DATE(CONFIGURACIÓN!$B$4,3,1),0))&gt;=21,CHOOSE(WEEKDAY(DATE(CONFIGURACIÓN!$B$4,3,21),2),"L","M","X","J","V","S","D"),"")</f>
        <v>S</v>
      </c>
      <c r="W5" s="26" t="str">
        <f>IF(DAY(EOMONTH(DATE(CONFIGURACIÓN!$B$4,3,1),0))&gt;=22,CHOOSE(WEEKDAY(DATE(CONFIGURACIÓN!$B$4,3,22),2),"L","M","X","J","V","S","D"),"")</f>
        <v>D</v>
      </c>
      <c r="X5" s="26" t="str">
        <f>IF(DAY(EOMONTH(DATE(CONFIGURACIÓN!$B$4,3,1),0))&gt;=23,CHOOSE(WEEKDAY(DATE(CONFIGURACIÓN!$B$4,3,23),2),"L","M","X","J","V","S","D"),"")</f>
        <v>L</v>
      </c>
      <c r="Y5" s="26" t="str">
        <f>IF(DAY(EOMONTH(DATE(CONFIGURACIÓN!$B$4,3,1),0))&gt;=24,CHOOSE(WEEKDAY(DATE(CONFIGURACIÓN!$B$4,3,24),2),"L","M","X","J","V","S","D"),"")</f>
        <v>M</v>
      </c>
      <c r="Z5" s="26" t="str">
        <f>IF(DAY(EOMONTH(DATE(CONFIGURACIÓN!$B$4,3,1),0))&gt;=25,CHOOSE(WEEKDAY(DATE(CONFIGURACIÓN!$B$4,3,25),2),"L","M","X","J","V","S","D"),"")</f>
        <v>X</v>
      </c>
      <c r="AA5" s="26" t="str">
        <f>IF(DAY(EOMONTH(DATE(CONFIGURACIÓN!$B$4,3,1),0))&gt;=26,CHOOSE(WEEKDAY(DATE(CONFIGURACIÓN!$B$4,3,26),2),"L","M","X","J","V","S","D"),"")</f>
        <v>J</v>
      </c>
      <c r="AB5" s="26" t="str">
        <f>IF(DAY(EOMONTH(DATE(CONFIGURACIÓN!$B$4,3,1),0))&gt;=27,CHOOSE(WEEKDAY(DATE(CONFIGURACIÓN!$B$4,3,27),2),"L","M","X","J","V","S","D"),"")</f>
        <v>V</v>
      </c>
      <c r="AC5" s="26" t="str">
        <f>IF(DAY(EOMONTH(DATE(CONFIGURACIÓN!$B$4,3,1),0))&gt;=28,CHOOSE(WEEKDAY(DATE(CONFIGURACIÓN!$B$4,3,28),2),"L","M","X","J","V","S","D"),"")</f>
        <v>S</v>
      </c>
      <c r="AD5" s="26" t="str">
        <f>IF(DAY(EOMONTH(DATE(CONFIGURACIÓN!$B$4,3,1),0))&gt;=29,CHOOSE(WEEKDAY(DATE(CONFIGURACIÓN!$B$4,3,29),2),"L","M","X","J","V","S","D"),"")</f>
        <v>D</v>
      </c>
      <c r="AE5" s="26" t="str">
        <f>IF(DAY(EOMONTH(DATE(CONFIGURACIÓN!$B$4,3,1),0))&gt;=30,CHOOSE(WEEKDAY(DATE(CONFIGURACIÓN!$B$4,3,30),2),"L","M","X","J","V","S","D"),"")</f>
        <v>L</v>
      </c>
      <c r="AF5" s="26" t="str">
        <f>IF(DAY(EOMONTH(DATE(CONFIGURACIÓN!$B$4,3,1),0))&gt;=31,CHOOSE(WEEKDAY(DATE(CONFIGURACIÓN!$B$4,3,31),2),"L","M","X","J","V","S","D"),"")</f>
        <v>M</v>
      </c>
    </row>
    <row r="6" spans="1:39" ht="21.95" customHeight="1">
      <c r="A6" s="82"/>
      <c r="B6" s="26">
        <f>IF(DAY(EOMONTH(DATE(CONFIGURACIÓN!$B$4,3,1),0))&gt;=1,1,"")</f>
        <v>1</v>
      </c>
      <c r="C6" s="26">
        <f>IF(DAY(EOMONTH(DATE(CONFIGURACIÓN!$B$4,3,1),0))&gt;=2,2,"")</f>
        <v>2</v>
      </c>
      <c r="D6" s="26">
        <f>IF(DAY(EOMONTH(DATE(CONFIGURACIÓN!$B$4,3,1),0))&gt;=3,3,"")</f>
        <v>3</v>
      </c>
      <c r="E6" s="26">
        <f>IF(DAY(EOMONTH(DATE(CONFIGURACIÓN!$B$4,3,1),0))&gt;=4,4,"")</f>
        <v>4</v>
      </c>
      <c r="F6" s="26">
        <f>IF(DAY(EOMONTH(DATE(CONFIGURACIÓN!$B$4,3,1),0))&gt;=5,5,"")</f>
        <v>5</v>
      </c>
      <c r="G6" s="26">
        <f>IF(DAY(EOMONTH(DATE(CONFIGURACIÓN!$B$4,3,1),0))&gt;=6,6,"")</f>
        <v>6</v>
      </c>
      <c r="H6" s="26">
        <f>IF(DAY(EOMONTH(DATE(CONFIGURACIÓN!$B$4,3,1),0))&gt;=7,7,"")</f>
        <v>7</v>
      </c>
      <c r="I6" s="26">
        <f>IF(DAY(EOMONTH(DATE(CONFIGURACIÓN!$B$4,3,1),0))&gt;=8,8,"")</f>
        <v>8</v>
      </c>
      <c r="J6" s="26">
        <f>IF(DAY(EOMONTH(DATE(CONFIGURACIÓN!$B$4,3,1),0))&gt;=9,9,"")</f>
        <v>9</v>
      </c>
      <c r="K6" s="26">
        <f>IF(DAY(EOMONTH(DATE(CONFIGURACIÓN!$B$4,3,1),0))&gt;=10,10,"")</f>
        <v>10</v>
      </c>
      <c r="L6" s="26">
        <f>IF(DAY(EOMONTH(DATE(CONFIGURACIÓN!$B$4,3,1),0))&gt;=11,11,"")</f>
        <v>11</v>
      </c>
      <c r="M6" s="26">
        <f>IF(DAY(EOMONTH(DATE(CONFIGURACIÓN!$B$4,3,1),0))&gt;=12,12,"")</f>
        <v>12</v>
      </c>
      <c r="N6" s="26">
        <f>IF(DAY(EOMONTH(DATE(CONFIGURACIÓN!$B$4,3,1),0))&gt;=13,13,"")</f>
        <v>13</v>
      </c>
      <c r="O6" s="26">
        <f>IF(DAY(EOMONTH(DATE(CONFIGURACIÓN!$B$4,3,1),0))&gt;=14,14,"")</f>
        <v>14</v>
      </c>
      <c r="P6" s="26">
        <f>IF(DAY(EOMONTH(DATE(CONFIGURACIÓN!$B$4,3,1),0))&gt;=15,15,"")</f>
        <v>15</v>
      </c>
      <c r="Q6" s="26">
        <f>IF(DAY(EOMONTH(DATE(CONFIGURACIÓN!$B$4,3,1),0))&gt;=16,16,"")</f>
        <v>16</v>
      </c>
      <c r="R6" s="26">
        <f>IF(DAY(EOMONTH(DATE(CONFIGURACIÓN!$B$4,3,1),0))&gt;=17,17,"")</f>
        <v>17</v>
      </c>
      <c r="S6" s="26">
        <f>IF(DAY(EOMONTH(DATE(CONFIGURACIÓN!$B$4,3,1),0))&gt;=18,18,"")</f>
        <v>18</v>
      </c>
      <c r="T6" s="26">
        <f>IF(DAY(EOMONTH(DATE(CONFIGURACIÓN!$B$4,3,1),0))&gt;=19,19,"")</f>
        <v>19</v>
      </c>
      <c r="U6" s="26">
        <f>IF(DAY(EOMONTH(DATE(CONFIGURACIÓN!$B$4,3,1),0))&gt;=20,20,"")</f>
        <v>20</v>
      </c>
      <c r="V6" s="26">
        <f>IF(DAY(EOMONTH(DATE(CONFIGURACIÓN!$B$4,3,1),0))&gt;=21,21,"")</f>
        <v>21</v>
      </c>
      <c r="W6" s="26">
        <f>IF(DAY(EOMONTH(DATE(CONFIGURACIÓN!$B$4,3,1),0))&gt;=22,22,"")</f>
        <v>22</v>
      </c>
      <c r="X6" s="26">
        <f>IF(DAY(EOMONTH(DATE(CONFIGURACIÓN!$B$4,3,1),0))&gt;=23,23,"")</f>
        <v>23</v>
      </c>
      <c r="Y6" s="26">
        <f>IF(DAY(EOMONTH(DATE(CONFIGURACIÓN!$B$4,3,1),0))&gt;=24,24,"")</f>
        <v>24</v>
      </c>
      <c r="Z6" s="26">
        <f>IF(DAY(EOMONTH(DATE(CONFIGURACIÓN!$B$4,3,1),0))&gt;=25,25,"")</f>
        <v>25</v>
      </c>
      <c r="AA6" s="26">
        <f>IF(DAY(EOMONTH(DATE(CONFIGURACIÓN!$B$4,3,1),0))&gt;=26,26,"")</f>
        <v>26</v>
      </c>
      <c r="AB6" s="26">
        <f>IF(DAY(EOMONTH(DATE(CONFIGURACIÓN!$B$4,3,1),0))&gt;=27,27,"")</f>
        <v>27</v>
      </c>
      <c r="AC6" s="26">
        <f>IF(DAY(EOMONTH(DATE(CONFIGURACIÓN!$B$4,3,1),0))&gt;=28,28,"")</f>
        <v>28</v>
      </c>
      <c r="AD6" s="26">
        <f>IF(DAY(EOMONTH(DATE(CONFIGURACIÓN!$B$4,3,1),0))&gt;=29,29,"")</f>
        <v>29</v>
      </c>
      <c r="AE6" s="26">
        <f>IF(DAY(EOMONTH(DATE(CONFIGURACIÓN!$B$4,3,1),0))&gt;=30,30,"")</f>
        <v>30</v>
      </c>
      <c r="AF6" s="26">
        <f>IF(DAY(EOMONTH(DATE(CONFIGURACIÓN!$B$4,3,1),0))&gt;=31,31,"")</f>
        <v>31</v>
      </c>
    </row>
    <row r="7" spans="1:39" ht="21.95" customHeight="1">
      <c r="A7" s="82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83" t="s">
        <v>64</v>
      </c>
      <c r="B16" s="83"/>
      <c r="C16" s="83"/>
      <c r="D16" s="83"/>
      <c r="E16" s="83"/>
      <c r="F16" s="83"/>
      <c r="G16" s="83"/>
      <c r="H16" s="83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27" t="s">
        <v>47</v>
      </c>
      <c r="B17" s="27" t="s">
        <v>15</v>
      </c>
      <c r="C17" s="27" t="s">
        <v>66</v>
      </c>
      <c r="D17" s="27" t="s">
        <v>67</v>
      </c>
      <c r="E17" s="27" t="s">
        <v>68</v>
      </c>
      <c r="F17" s="27" t="s">
        <v>69</v>
      </c>
      <c r="G17" s="27" t="s">
        <v>61</v>
      </c>
      <c r="H17" s="27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28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28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28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28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28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28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</row>
    <row r="26" spans="1:32" ht="24" customHeigh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509" priority="1" operator="equal">
      <formula>"D"</formula>
    </cfRule>
    <cfRule type="cellIs" dxfId="508" priority="2" operator="equal">
      <formula>"S"</formula>
    </cfRule>
  </conditionalFormatting>
  <conditionalFormatting sqref="B8:AF13">
    <cfRule type="expression" dxfId="507" priority="3">
      <formula>AND(B8=$AG$1,$AG$2="VERDE")</formula>
    </cfRule>
    <cfRule type="expression" dxfId="506" priority="4">
      <formula>AND(B8=$AG$1,$AG$2="AZUL")</formula>
    </cfRule>
    <cfRule type="expression" dxfId="505" priority="5">
      <formula>AND(B8=$AG$1,$AG$2="TURQUESA")</formula>
    </cfRule>
    <cfRule type="expression" dxfId="504" priority="6">
      <formula>AND(B8=$AG$1,$AG$2="ROJO")</formula>
    </cfRule>
    <cfRule type="expression" dxfId="503" priority="7">
      <formula>AND(B8=$AG$1,$AG$2="VERDE CLARO")</formula>
    </cfRule>
    <cfRule type="expression" dxfId="502" priority="8">
      <formula>AND(B8=$AG$1,$AG$2="NARANJA")</formula>
    </cfRule>
    <cfRule type="expression" dxfId="501" priority="9">
      <formula>AND(B8=$AG$1,$AG$2="GRIS")</formula>
    </cfRule>
    <cfRule type="expression" dxfId="500" priority="10">
      <formula>AND(B8=$AH$1,$AH$2="VERDE")</formula>
    </cfRule>
    <cfRule type="expression" dxfId="499" priority="11">
      <formula>AND(B8=$AH$1,$AH$2="AZUL")</formula>
    </cfRule>
    <cfRule type="expression" dxfId="498" priority="12">
      <formula>AND(B8=$AH$1,$AH$2="TURQUESA")</formula>
    </cfRule>
    <cfRule type="expression" dxfId="497" priority="13">
      <formula>AND(B8=$AH$1,$AH$2="ROJO")</formula>
    </cfRule>
    <cfRule type="expression" dxfId="496" priority="14">
      <formula>AND(B8=$AH$1,$AH$2="VERDE CLARO")</formula>
    </cfRule>
    <cfRule type="expression" dxfId="495" priority="15">
      <formula>AND(B8=$AH$1,$AH$2="NARANJA")</formula>
    </cfRule>
    <cfRule type="expression" dxfId="494" priority="16">
      <formula>AND(B8=$AH$1,$AH$2="GRIS")</formula>
    </cfRule>
    <cfRule type="expression" dxfId="493" priority="17">
      <formula>AND(B8=$AI$1,$AI$2="VERDE")</formula>
    </cfRule>
    <cfRule type="expression" dxfId="492" priority="18">
      <formula>AND(B8=$AI$1,$AI$2="AZUL")</formula>
    </cfRule>
    <cfRule type="expression" dxfId="491" priority="19">
      <formula>AND(B8=$AI$1,$AI$2="TURQUESA")</formula>
    </cfRule>
    <cfRule type="expression" dxfId="490" priority="20">
      <formula>AND(B8=$AI$1,$AI$2="ROJO")</formula>
    </cfRule>
    <cfRule type="expression" dxfId="489" priority="21">
      <formula>AND(B8=$AI$1,$AI$2="VERDE CLARO")</formula>
    </cfRule>
    <cfRule type="expression" dxfId="488" priority="22">
      <formula>AND(B8=$AI$1,$AI$2="NARANJA")</formula>
    </cfRule>
    <cfRule type="expression" dxfId="487" priority="23">
      <formula>AND(B8=$AI$1,$AI$2="GRIS")</formula>
    </cfRule>
    <cfRule type="expression" dxfId="486" priority="24">
      <formula>AND(B8=$AJ$1,$AJ$2="VERDE")</formula>
    </cfRule>
    <cfRule type="expression" dxfId="485" priority="25">
      <formula>AND(B8=$AJ$1,$AJ$2="AZUL")</formula>
    </cfRule>
    <cfRule type="expression" dxfId="484" priority="26">
      <formula>AND(B8=$AJ$1,$AJ$2="TURQUESA")</formula>
    </cfRule>
    <cfRule type="expression" dxfId="483" priority="27">
      <formula>AND(B8=$AJ$1,$AJ$2="ROJO")</formula>
    </cfRule>
    <cfRule type="expression" dxfId="482" priority="28">
      <formula>AND(B8=$AJ$1,$AJ$2="VERDE CLARO")</formula>
    </cfRule>
    <cfRule type="expression" dxfId="481" priority="29">
      <formula>AND(B8=$AJ$1,$AJ$2="NARANJA")</formula>
    </cfRule>
    <cfRule type="expression" dxfId="480" priority="30">
      <formula>AND(B8=$AJ$1,$AJ$2="GRIS")</formula>
    </cfRule>
    <cfRule type="expression" dxfId="479" priority="31">
      <formula>AND(B8=$AK$1,$AK$2="VERDE")</formula>
    </cfRule>
    <cfRule type="expression" dxfId="478" priority="32">
      <formula>AND(B8=$AK$1,$AK$2="AZUL")</formula>
    </cfRule>
    <cfRule type="expression" dxfId="477" priority="33">
      <formula>AND(B8=$AK$1,$AK$2="TURQUESA")</formula>
    </cfRule>
    <cfRule type="expression" dxfId="476" priority="34">
      <formula>AND(B8=$AK$1,$AK$2="ROJO")</formula>
    </cfRule>
    <cfRule type="expression" dxfId="475" priority="35">
      <formula>AND(B8=$AK$1,$AK$2="VERDE CLARO")</formula>
    </cfRule>
    <cfRule type="expression" dxfId="474" priority="36">
      <formula>AND(B8=$AK$1,$AK$2="NARANJA")</formula>
    </cfRule>
    <cfRule type="expression" dxfId="473" priority="37">
      <formula>AND(B8=$AK$1,$AK$2="GRIS")</formula>
    </cfRule>
    <cfRule type="expression" dxfId="472" priority="38">
      <formula>AND(B8=$AL$1,$AL$2="VERDE")</formula>
    </cfRule>
    <cfRule type="expression" dxfId="471" priority="39">
      <formula>AND(B8=$AL$1,$AL$2="AZUL")</formula>
    </cfRule>
    <cfRule type="expression" dxfId="470" priority="40">
      <formula>AND(B8=$AL$1,$AL$2="TURQUESA")</formula>
    </cfRule>
    <cfRule type="expression" dxfId="469" priority="41">
      <formula>AND(B8=$AL$1,$AL$2="ROJO")</formula>
    </cfRule>
    <cfRule type="expression" dxfId="468" priority="42">
      <formula>AND(B8=$AL$1,$AL$2="VERDE CLARO")</formula>
    </cfRule>
    <cfRule type="expression" dxfId="467" priority="43">
      <formula>AND(B8=$AL$1,$AL$2="NARANJA")</formula>
    </cfRule>
    <cfRule type="expression" dxfId="466" priority="44">
      <formula>AND(B8=$AL$1,$AL$2="GRIS")</formula>
    </cfRule>
    <cfRule type="expression" dxfId="465" priority="45">
      <formula>AND(B8=$AM$1,$AM$2="VERDE")</formula>
    </cfRule>
    <cfRule type="expression" dxfId="464" priority="46">
      <formula>AND(B8=$AM$1,$AM$2="AZUL")</formula>
    </cfRule>
    <cfRule type="expression" dxfId="463" priority="47">
      <formula>AND(B8=$AM$1,$AM$2="TURQUESA")</formula>
    </cfRule>
    <cfRule type="expression" dxfId="462" priority="48">
      <formula>AND(B8=$AM$1,$AM$2="ROJO")</formula>
    </cfRule>
    <cfRule type="expression" dxfId="461" priority="49">
      <formula>AND(B8=$AM$1,$AM$2="VERDE CLARO")</formula>
    </cfRule>
    <cfRule type="expression" dxfId="460" priority="50">
      <formula>AND(B8=$AM$1,$AM$2="NARANJA")</formula>
    </cfRule>
    <cfRule type="expression" dxfId="459" priority="51">
      <formula>AND(B8=$AM$1,$AM$2="GRIS")</formula>
    </cfRule>
  </conditionalFormatting>
  <dataValidations count="1">
    <dataValidation type="list" sqref="B8:AF13" xr:uid="{00000000-0002-0000-0400-000000000000}">
      <formula1>$AG$1:$AM$1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85" t="s">
        <v>62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86" t="str">
        <f>"ABRIL "&amp;CONFIGURACIÓN!B4&amp;" · "&amp;CONFIGURACIÓN!B5</f>
        <v>ABRIL 2026 · CENTRO DE TRABAJO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87" t="s">
        <v>63</v>
      </c>
      <c r="B5" s="29" t="str">
        <f>IF(DAY(EOMONTH(DATE(CONFIGURACIÓN!$B$4,4,1),0))&gt;=1,CHOOSE(WEEKDAY(DATE(CONFIGURACIÓN!$B$4,4,1),2),"L","M","X","J","V","S","D"),"")</f>
        <v>X</v>
      </c>
      <c r="C5" s="29" t="str">
        <f>IF(DAY(EOMONTH(DATE(CONFIGURACIÓN!$B$4,4,1),0))&gt;=2,CHOOSE(WEEKDAY(DATE(CONFIGURACIÓN!$B$4,4,2),2),"L","M","X","J","V","S","D"),"")</f>
        <v>J</v>
      </c>
      <c r="D5" s="29" t="str">
        <f>IF(DAY(EOMONTH(DATE(CONFIGURACIÓN!$B$4,4,1),0))&gt;=3,CHOOSE(WEEKDAY(DATE(CONFIGURACIÓN!$B$4,4,3),2),"L","M","X","J","V","S","D"),"")</f>
        <v>V</v>
      </c>
      <c r="E5" s="29" t="str">
        <f>IF(DAY(EOMONTH(DATE(CONFIGURACIÓN!$B$4,4,1),0))&gt;=4,CHOOSE(WEEKDAY(DATE(CONFIGURACIÓN!$B$4,4,4),2),"L","M","X","J","V","S","D"),"")</f>
        <v>S</v>
      </c>
      <c r="F5" s="29" t="str">
        <f>IF(DAY(EOMONTH(DATE(CONFIGURACIÓN!$B$4,4,1),0))&gt;=5,CHOOSE(WEEKDAY(DATE(CONFIGURACIÓN!$B$4,4,5),2),"L","M","X","J","V","S","D"),"")</f>
        <v>D</v>
      </c>
      <c r="G5" s="29" t="str">
        <f>IF(DAY(EOMONTH(DATE(CONFIGURACIÓN!$B$4,4,1),0))&gt;=6,CHOOSE(WEEKDAY(DATE(CONFIGURACIÓN!$B$4,4,6),2),"L","M","X","J","V","S","D"),"")</f>
        <v>L</v>
      </c>
      <c r="H5" s="29" t="str">
        <f>IF(DAY(EOMONTH(DATE(CONFIGURACIÓN!$B$4,4,1),0))&gt;=7,CHOOSE(WEEKDAY(DATE(CONFIGURACIÓN!$B$4,4,7),2),"L","M","X","J","V","S","D"),"")</f>
        <v>M</v>
      </c>
      <c r="I5" s="29" t="str">
        <f>IF(DAY(EOMONTH(DATE(CONFIGURACIÓN!$B$4,4,1),0))&gt;=8,CHOOSE(WEEKDAY(DATE(CONFIGURACIÓN!$B$4,4,8),2),"L","M","X","J","V","S","D"),"")</f>
        <v>X</v>
      </c>
      <c r="J5" s="29" t="str">
        <f>IF(DAY(EOMONTH(DATE(CONFIGURACIÓN!$B$4,4,1),0))&gt;=9,CHOOSE(WEEKDAY(DATE(CONFIGURACIÓN!$B$4,4,9),2),"L","M","X","J","V","S","D"),"")</f>
        <v>J</v>
      </c>
      <c r="K5" s="29" t="str">
        <f>IF(DAY(EOMONTH(DATE(CONFIGURACIÓN!$B$4,4,1),0))&gt;=10,CHOOSE(WEEKDAY(DATE(CONFIGURACIÓN!$B$4,4,10),2),"L","M","X","J","V","S","D"),"")</f>
        <v>V</v>
      </c>
      <c r="L5" s="29" t="str">
        <f>IF(DAY(EOMONTH(DATE(CONFIGURACIÓN!$B$4,4,1),0))&gt;=11,CHOOSE(WEEKDAY(DATE(CONFIGURACIÓN!$B$4,4,11),2),"L","M","X","J","V","S","D"),"")</f>
        <v>S</v>
      </c>
      <c r="M5" s="29" t="str">
        <f>IF(DAY(EOMONTH(DATE(CONFIGURACIÓN!$B$4,4,1),0))&gt;=12,CHOOSE(WEEKDAY(DATE(CONFIGURACIÓN!$B$4,4,12),2),"L","M","X","J","V","S","D"),"")</f>
        <v>D</v>
      </c>
      <c r="N5" s="29" t="str">
        <f>IF(DAY(EOMONTH(DATE(CONFIGURACIÓN!$B$4,4,1),0))&gt;=13,CHOOSE(WEEKDAY(DATE(CONFIGURACIÓN!$B$4,4,13),2),"L","M","X","J","V","S","D"),"")</f>
        <v>L</v>
      </c>
      <c r="O5" s="29" t="str">
        <f>IF(DAY(EOMONTH(DATE(CONFIGURACIÓN!$B$4,4,1),0))&gt;=14,CHOOSE(WEEKDAY(DATE(CONFIGURACIÓN!$B$4,4,14),2),"L","M","X","J","V","S","D"),"")</f>
        <v>M</v>
      </c>
      <c r="P5" s="29" t="str">
        <f>IF(DAY(EOMONTH(DATE(CONFIGURACIÓN!$B$4,4,1),0))&gt;=15,CHOOSE(WEEKDAY(DATE(CONFIGURACIÓN!$B$4,4,15),2),"L","M","X","J","V","S","D"),"")</f>
        <v>X</v>
      </c>
      <c r="Q5" s="29" t="str">
        <f>IF(DAY(EOMONTH(DATE(CONFIGURACIÓN!$B$4,4,1),0))&gt;=16,CHOOSE(WEEKDAY(DATE(CONFIGURACIÓN!$B$4,4,16),2),"L","M","X","J","V","S","D"),"")</f>
        <v>J</v>
      </c>
      <c r="R5" s="29" t="str">
        <f>IF(DAY(EOMONTH(DATE(CONFIGURACIÓN!$B$4,4,1),0))&gt;=17,CHOOSE(WEEKDAY(DATE(CONFIGURACIÓN!$B$4,4,17),2),"L","M","X","J","V","S","D"),"")</f>
        <v>V</v>
      </c>
      <c r="S5" s="29" t="str">
        <f>IF(DAY(EOMONTH(DATE(CONFIGURACIÓN!$B$4,4,1),0))&gt;=18,CHOOSE(WEEKDAY(DATE(CONFIGURACIÓN!$B$4,4,18),2),"L","M","X","J","V","S","D"),"")</f>
        <v>S</v>
      </c>
      <c r="T5" s="29" t="str">
        <f>IF(DAY(EOMONTH(DATE(CONFIGURACIÓN!$B$4,4,1),0))&gt;=19,CHOOSE(WEEKDAY(DATE(CONFIGURACIÓN!$B$4,4,19),2),"L","M","X","J","V","S","D"),"")</f>
        <v>D</v>
      </c>
      <c r="U5" s="29" t="str">
        <f>IF(DAY(EOMONTH(DATE(CONFIGURACIÓN!$B$4,4,1),0))&gt;=20,CHOOSE(WEEKDAY(DATE(CONFIGURACIÓN!$B$4,4,20),2),"L","M","X","J","V","S","D"),"")</f>
        <v>L</v>
      </c>
      <c r="V5" s="29" t="str">
        <f>IF(DAY(EOMONTH(DATE(CONFIGURACIÓN!$B$4,4,1),0))&gt;=21,CHOOSE(WEEKDAY(DATE(CONFIGURACIÓN!$B$4,4,21),2),"L","M","X","J","V","S","D"),"")</f>
        <v>M</v>
      </c>
      <c r="W5" s="29" t="str">
        <f>IF(DAY(EOMONTH(DATE(CONFIGURACIÓN!$B$4,4,1),0))&gt;=22,CHOOSE(WEEKDAY(DATE(CONFIGURACIÓN!$B$4,4,22),2),"L","M","X","J","V","S","D"),"")</f>
        <v>X</v>
      </c>
      <c r="X5" s="29" t="str">
        <f>IF(DAY(EOMONTH(DATE(CONFIGURACIÓN!$B$4,4,1),0))&gt;=23,CHOOSE(WEEKDAY(DATE(CONFIGURACIÓN!$B$4,4,23),2),"L","M","X","J","V","S","D"),"")</f>
        <v>J</v>
      </c>
      <c r="Y5" s="29" t="str">
        <f>IF(DAY(EOMONTH(DATE(CONFIGURACIÓN!$B$4,4,1),0))&gt;=24,CHOOSE(WEEKDAY(DATE(CONFIGURACIÓN!$B$4,4,24),2),"L","M","X","J","V","S","D"),"")</f>
        <v>V</v>
      </c>
      <c r="Z5" s="29" t="str">
        <f>IF(DAY(EOMONTH(DATE(CONFIGURACIÓN!$B$4,4,1),0))&gt;=25,CHOOSE(WEEKDAY(DATE(CONFIGURACIÓN!$B$4,4,25),2),"L","M","X","J","V","S","D"),"")</f>
        <v>S</v>
      </c>
      <c r="AA5" s="29" t="str">
        <f>IF(DAY(EOMONTH(DATE(CONFIGURACIÓN!$B$4,4,1),0))&gt;=26,CHOOSE(WEEKDAY(DATE(CONFIGURACIÓN!$B$4,4,26),2),"L","M","X","J","V","S","D"),"")</f>
        <v>D</v>
      </c>
      <c r="AB5" s="29" t="str">
        <f>IF(DAY(EOMONTH(DATE(CONFIGURACIÓN!$B$4,4,1),0))&gt;=27,CHOOSE(WEEKDAY(DATE(CONFIGURACIÓN!$B$4,4,27),2),"L","M","X","J","V","S","D"),"")</f>
        <v>L</v>
      </c>
      <c r="AC5" s="29" t="str">
        <f>IF(DAY(EOMONTH(DATE(CONFIGURACIÓN!$B$4,4,1),0))&gt;=28,CHOOSE(WEEKDAY(DATE(CONFIGURACIÓN!$B$4,4,28),2),"L","M","X","J","V","S","D"),"")</f>
        <v>M</v>
      </c>
      <c r="AD5" s="29" t="str">
        <f>IF(DAY(EOMONTH(DATE(CONFIGURACIÓN!$B$4,4,1),0))&gt;=29,CHOOSE(WEEKDAY(DATE(CONFIGURACIÓN!$B$4,4,29),2),"L","M","X","J","V","S","D"),"")</f>
        <v>X</v>
      </c>
      <c r="AE5" s="29" t="str">
        <f>IF(DAY(EOMONTH(DATE(CONFIGURACIÓN!$B$4,4,1),0))&gt;=30,CHOOSE(WEEKDAY(DATE(CONFIGURACIÓN!$B$4,4,30),2),"L","M","X","J","V","S","D"),"")</f>
        <v>J</v>
      </c>
      <c r="AF5" s="29" t="str">
        <f>IF(DAY(EOMONTH(DATE(CONFIGURACIÓN!$B$4,4,1),0))&gt;=31,CHOOSE(WEEKDAY(DATE(CONFIGURACIÓN!$B$4,4,31),2),"L","M","X","J","V","S","D"),"")</f>
        <v/>
      </c>
    </row>
    <row r="6" spans="1:39" ht="21.95" customHeight="1">
      <c r="A6" s="87"/>
      <c r="B6" s="29">
        <f>IF(DAY(EOMONTH(DATE(CONFIGURACIÓN!$B$4,4,1),0))&gt;=1,1,"")</f>
        <v>1</v>
      </c>
      <c r="C6" s="29">
        <f>IF(DAY(EOMONTH(DATE(CONFIGURACIÓN!$B$4,4,1),0))&gt;=2,2,"")</f>
        <v>2</v>
      </c>
      <c r="D6" s="29">
        <f>IF(DAY(EOMONTH(DATE(CONFIGURACIÓN!$B$4,4,1),0))&gt;=3,3,"")</f>
        <v>3</v>
      </c>
      <c r="E6" s="29">
        <f>IF(DAY(EOMONTH(DATE(CONFIGURACIÓN!$B$4,4,1),0))&gt;=4,4,"")</f>
        <v>4</v>
      </c>
      <c r="F6" s="29">
        <f>IF(DAY(EOMONTH(DATE(CONFIGURACIÓN!$B$4,4,1),0))&gt;=5,5,"")</f>
        <v>5</v>
      </c>
      <c r="G6" s="29">
        <f>IF(DAY(EOMONTH(DATE(CONFIGURACIÓN!$B$4,4,1),0))&gt;=6,6,"")</f>
        <v>6</v>
      </c>
      <c r="H6" s="29">
        <f>IF(DAY(EOMONTH(DATE(CONFIGURACIÓN!$B$4,4,1),0))&gt;=7,7,"")</f>
        <v>7</v>
      </c>
      <c r="I6" s="29">
        <f>IF(DAY(EOMONTH(DATE(CONFIGURACIÓN!$B$4,4,1),0))&gt;=8,8,"")</f>
        <v>8</v>
      </c>
      <c r="J6" s="29">
        <f>IF(DAY(EOMONTH(DATE(CONFIGURACIÓN!$B$4,4,1),0))&gt;=9,9,"")</f>
        <v>9</v>
      </c>
      <c r="K6" s="29">
        <f>IF(DAY(EOMONTH(DATE(CONFIGURACIÓN!$B$4,4,1),0))&gt;=10,10,"")</f>
        <v>10</v>
      </c>
      <c r="L6" s="29">
        <f>IF(DAY(EOMONTH(DATE(CONFIGURACIÓN!$B$4,4,1),0))&gt;=11,11,"")</f>
        <v>11</v>
      </c>
      <c r="M6" s="29">
        <f>IF(DAY(EOMONTH(DATE(CONFIGURACIÓN!$B$4,4,1),0))&gt;=12,12,"")</f>
        <v>12</v>
      </c>
      <c r="N6" s="29">
        <f>IF(DAY(EOMONTH(DATE(CONFIGURACIÓN!$B$4,4,1),0))&gt;=13,13,"")</f>
        <v>13</v>
      </c>
      <c r="O6" s="29">
        <f>IF(DAY(EOMONTH(DATE(CONFIGURACIÓN!$B$4,4,1),0))&gt;=14,14,"")</f>
        <v>14</v>
      </c>
      <c r="P6" s="29">
        <f>IF(DAY(EOMONTH(DATE(CONFIGURACIÓN!$B$4,4,1),0))&gt;=15,15,"")</f>
        <v>15</v>
      </c>
      <c r="Q6" s="29">
        <f>IF(DAY(EOMONTH(DATE(CONFIGURACIÓN!$B$4,4,1),0))&gt;=16,16,"")</f>
        <v>16</v>
      </c>
      <c r="R6" s="29">
        <f>IF(DAY(EOMONTH(DATE(CONFIGURACIÓN!$B$4,4,1),0))&gt;=17,17,"")</f>
        <v>17</v>
      </c>
      <c r="S6" s="29">
        <f>IF(DAY(EOMONTH(DATE(CONFIGURACIÓN!$B$4,4,1),0))&gt;=18,18,"")</f>
        <v>18</v>
      </c>
      <c r="T6" s="29">
        <f>IF(DAY(EOMONTH(DATE(CONFIGURACIÓN!$B$4,4,1),0))&gt;=19,19,"")</f>
        <v>19</v>
      </c>
      <c r="U6" s="29">
        <f>IF(DAY(EOMONTH(DATE(CONFIGURACIÓN!$B$4,4,1),0))&gt;=20,20,"")</f>
        <v>20</v>
      </c>
      <c r="V6" s="29">
        <f>IF(DAY(EOMONTH(DATE(CONFIGURACIÓN!$B$4,4,1),0))&gt;=21,21,"")</f>
        <v>21</v>
      </c>
      <c r="W6" s="29">
        <f>IF(DAY(EOMONTH(DATE(CONFIGURACIÓN!$B$4,4,1),0))&gt;=22,22,"")</f>
        <v>22</v>
      </c>
      <c r="X6" s="29">
        <f>IF(DAY(EOMONTH(DATE(CONFIGURACIÓN!$B$4,4,1),0))&gt;=23,23,"")</f>
        <v>23</v>
      </c>
      <c r="Y6" s="29">
        <f>IF(DAY(EOMONTH(DATE(CONFIGURACIÓN!$B$4,4,1),0))&gt;=24,24,"")</f>
        <v>24</v>
      </c>
      <c r="Z6" s="29">
        <f>IF(DAY(EOMONTH(DATE(CONFIGURACIÓN!$B$4,4,1),0))&gt;=25,25,"")</f>
        <v>25</v>
      </c>
      <c r="AA6" s="29">
        <f>IF(DAY(EOMONTH(DATE(CONFIGURACIÓN!$B$4,4,1),0))&gt;=26,26,"")</f>
        <v>26</v>
      </c>
      <c r="AB6" s="29">
        <f>IF(DAY(EOMONTH(DATE(CONFIGURACIÓN!$B$4,4,1),0))&gt;=27,27,"")</f>
        <v>27</v>
      </c>
      <c r="AC6" s="29">
        <f>IF(DAY(EOMONTH(DATE(CONFIGURACIÓN!$B$4,4,1),0))&gt;=28,28,"")</f>
        <v>28</v>
      </c>
      <c r="AD6" s="29">
        <f>IF(DAY(EOMONTH(DATE(CONFIGURACIÓN!$B$4,4,1),0))&gt;=29,29,"")</f>
        <v>29</v>
      </c>
      <c r="AE6" s="29">
        <f>IF(DAY(EOMONTH(DATE(CONFIGURACIÓN!$B$4,4,1),0))&gt;=30,30,"")</f>
        <v>30</v>
      </c>
      <c r="AF6" s="29" t="str">
        <f>IF(DAY(EOMONTH(DATE(CONFIGURACIÓN!$B$4,4,1),0))&gt;=31,31,"")</f>
        <v/>
      </c>
    </row>
    <row r="7" spans="1:39" ht="21.95" customHeight="1">
      <c r="A7" s="8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88" t="s">
        <v>64</v>
      </c>
      <c r="B16" s="88"/>
      <c r="C16" s="88"/>
      <c r="D16" s="88"/>
      <c r="E16" s="88"/>
      <c r="F16" s="88"/>
      <c r="G16" s="88"/>
      <c r="H16" s="8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30" t="s">
        <v>47</v>
      </c>
      <c r="B17" s="30" t="s">
        <v>15</v>
      </c>
      <c r="C17" s="30" t="s">
        <v>66</v>
      </c>
      <c r="D17" s="30" t="s">
        <v>67</v>
      </c>
      <c r="E17" s="30" t="s">
        <v>68</v>
      </c>
      <c r="F17" s="30" t="s">
        <v>69</v>
      </c>
      <c r="G17" s="30" t="s">
        <v>61</v>
      </c>
      <c r="H17" s="30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31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31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31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31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31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31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</row>
    <row r="26" spans="1:32" ht="24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458" priority="1" operator="equal">
      <formula>"D"</formula>
    </cfRule>
    <cfRule type="cellIs" dxfId="457" priority="2" operator="equal">
      <formula>"S"</formula>
    </cfRule>
  </conditionalFormatting>
  <conditionalFormatting sqref="B8:AF13">
    <cfRule type="expression" dxfId="456" priority="3">
      <formula>AND(B8=$AG$1,$AG$2="VERDE")</formula>
    </cfRule>
    <cfRule type="expression" dxfId="455" priority="4">
      <formula>AND(B8=$AG$1,$AG$2="AZUL")</formula>
    </cfRule>
    <cfRule type="expression" dxfId="454" priority="5">
      <formula>AND(B8=$AG$1,$AG$2="TURQUESA")</formula>
    </cfRule>
    <cfRule type="expression" dxfId="453" priority="6">
      <formula>AND(B8=$AG$1,$AG$2="ROJO")</formula>
    </cfRule>
    <cfRule type="expression" dxfId="452" priority="7">
      <formula>AND(B8=$AG$1,$AG$2="VERDE CLARO")</formula>
    </cfRule>
    <cfRule type="expression" dxfId="451" priority="8">
      <formula>AND(B8=$AG$1,$AG$2="NARANJA")</formula>
    </cfRule>
    <cfRule type="expression" dxfId="450" priority="9">
      <formula>AND(B8=$AG$1,$AG$2="GRIS")</formula>
    </cfRule>
    <cfRule type="expression" dxfId="449" priority="10">
      <formula>AND(B8=$AH$1,$AH$2="VERDE")</formula>
    </cfRule>
    <cfRule type="expression" dxfId="448" priority="11">
      <formula>AND(B8=$AH$1,$AH$2="AZUL")</formula>
    </cfRule>
    <cfRule type="expression" dxfId="447" priority="12">
      <formula>AND(B8=$AH$1,$AH$2="TURQUESA")</formula>
    </cfRule>
    <cfRule type="expression" dxfId="446" priority="13">
      <formula>AND(B8=$AH$1,$AH$2="ROJO")</formula>
    </cfRule>
    <cfRule type="expression" dxfId="445" priority="14">
      <formula>AND(B8=$AH$1,$AH$2="VERDE CLARO")</formula>
    </cfRule>
    <cfRule type="expression" dxfId="444" priority="15">
      <formula>AND(B8=$AH$1,$AH$2="NARANJA")</formula>
    </cfRule>
    <cfRule type="expression" dxfId="443" priority="16">
      <formula>AND(B8=$AH$1,$AH$2="GRIS")</formula>
    </cfRule>
    <cfRule type="expression" dxfId="442" priority="17">
      <formula>AND(B8=$AI$1,$AI$2="VERDE")</formula>
    </cfRule>
    <cfRule type="expression" dxfId="441" priority="18">
      <formula>AND(B8=$AI$1,$AI$2="AZUL")</formula>
    </cfRule>
    <cfRule type="expression" dxfId="440" priority="19">
      <formula>AND(B8=$AI$1,$AI$2="TURQUESA")</formula>
    </cfRule>
    <cfRule type="expression" dxfId="439" priority="20">
      <formula>AND(B8=$AI$1,$AI$2="ROJO")</formula>
    </cfRule>
    <cfRule type="expression" dxfId="438" priority="21">
      <formula>AND(B8=$AI$1,$AI$2="VERDE CLARO")</formula>
    </cfRule>
    <cfRule type="expression" dxfId="437" priority="22">
      <formula>AND(B8=$AI$1,$AI$2="NARANJA")</formula>
    </cfRule>
    <cfRule type="expression" dxfId="436" priority="23">
      <formula>AND(B8=$AI$1,$AI$2="GRIS")</formula>
    </cfRule>
    <cfRule type="expression" dxfId="435" priority="24">
      <formula>AND(B8=$AJ$1,$AJ$2="VERDE")</formula>
    </cfRule>
    <cfRule type="expression" dxfId="434" priority="25">
      <formula>AND(B8=$AJ$1,$AJ$2="AZUL")</formula>
    </cfRule>
    <cfRule type="expression" dxfId="433" priority="26">
      <formula>AND(B8=$AJ$1,$AJ$2="TURQUESA")</formula>
    </cfRule>
    <cfRule type="expression" dxfId="432" priority="27">
      <formula>AND(B8=$AJ$1,$AJ$2="ROJO")</formula>
    </cfRule>
    <cfRule type="expression" dxfId="431" priority="28">
      <formula>AND(B8=$AJ$1,$AJ$2="VERDE CLARO")</formula>
    </cfRule>
    <cfRule type="expression" dxfId="430" priority="29">
      <formula>AND(B8=$AJ$1,$AJ$2="NARANJA")</formula>
    </cfRule>
    <cfRule type="expression" dxfId="429" priority="30">
      <formula>AND(B8=$AJ$1,$AJ$2="GRIS")</formula>
    </cfRule>
    <cfRule type="expression" dxfId="428" priority="31">
      <formula>AND(B8=$AK$1,$AK$2="VERDE")</formula>
    </cfRule>
    <cfRule type="expression" dxfId="427" priority="32">
      <formula>AND(B8=$AK$1,$AK$2="AZUL")</formula>
    </cfRule>
    <cfRule type="expression" dxfId="426" priority="33">
      <formula>AND(B8=$AK$1,$AK$2="TURQUESA")</formula>
    </cfRule>
    <cfRule type="expression" dxfId="425" priority="34">
      <formula>AND(B8=$AK$1,$AK$2="ROJO")</formula>
    </cfRule>
    <cfRule type="expression" dxfId="424" priority="35">
      <formula>AND(B8=$AK$1,$AK$2="VERDE CLARO")</formula>
    </cfRule>
    <cfRule type="expression" dxfId="423" priority="36">
      <formula>AND(B8=$AK$1,$AK$2="NARANJA")</formula>
    </cfRule>
    <cfRule type="expression" dxfId="422" priority="37">
      <formula>AND(B8=$AK$1,$AK$2="GRIS")</formula>
    </cfRule>
    <cfRule type="expression" dxfId="421" priority="38">
      <formula>AND(B8=$AL$1,$AL$2="VERDE")</formula>
    </cfRule>
    <cfRule type="expression" dxfId="420" priority="39">
      <formula>AND(B8=$AL$1,$AL$2="AZUL")</formula>
    </cfRule>
    <cfRule type="expression" dxfId="419" priority="40">
      <formula>AND(B8=$AL$1,$AL$2="TURQUESA")</formula>
    </cfRule>
    <cfRule type="expression" dxfId="418" priority="41">
      <formula>AND(B8=$AL$1,$AL$2="ROJO")</formula>
    </cfRule>
    <cfRule type="expression" dxfId="417" priority="42">
      <formula>AND(B8=$AL$1,$AL$2="VERDE CLARO")</formula>
    </cfRule>
    <cfRule type="expression" dxfId="416" priority="43">
      <formula>AND(B8=$AL$1,$AL$2="NARANJA")</formula>
    </cfRule>
    <cfRule type="expression" dxfId="415" priority="44">
      <formula>AND(B8=$AL$1,$AL$2="GRIS")</formula>
    </cfRule>
    <cfRule type="expression" dxfId="414" priority="45">
      <formula>AND(B8=$AM$1,$AM$2="VERDE")</formula>
    </cfRule>
    <cfRule type="expression" dxfId="413" priority="46">
      <formula>AND(B8=$AM$1,$AM$2="AZUL")</formula>
    </cfRule>
    <cfRule type="expression" dxfId="412" priority="47">
      <formula>AND(B8=$AM$1,$AM$2="TURQUESA")</formula>
    </cfRule>
    <cfRule type="expression" dxfId="411" priority="48">
      <formula>AND(B8=$AM$1,$AM$2="ROJO")</formula>
    </cfRule>
    <cfRule type="expression" dxfId="410" priority="49">
      <formula>AND(B8=$AM$1,$AM$2="VERDE CLARO")</formula>
    </cfRule>
    <cfRule type="expression" dxfId="409" priority="50">
      <formula>AND(B8=$AM$1,$AM$2="NARANJA")</formula>
    </cfRule>
    <cfRule type="expression" dxfId="408" priority="51">
      <formula>AND(B8=$AM$1,$AM$2="GRIS")</formula>
    </cfRule>
  </conditionalFormatting>
  <dataValidations count="1">
    <dataValidation type="list" sqref="B8:AF13" xr:uid="{00000000-0002-0000-0500-000000000000}">
      <formula1>$AG$1:$AM$1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90" t="s">
        <v>62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91" t="str">
        <f>"MAYO "&amp;CONFIGURACIÓN!B4&amp;" · "&amp;CONFIGURACIÓN!B5</f>
        <v>MAYO 2026 · CENTRO DE TRABAJO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92" t="s">
        <v>63</v>
      </c>
      <c r="B5" s="32" t="str">
        <f>IF(DAY(EOMONTH(DATE(CONFIGURACIÓN!$B$4,5,1),0))&gt;=1,CHOOSE(WEEKDAY(DATE(CONFIGURACIÓN!$B$4,5,1),2),"L","M","X","J","V","S","D"),"")</f>
        <v>V</v>
      </c>
      <c r="C5" s="32" t="str">
        <f>IF(DAY(EOMONTH(DATE(CONFIGURACIÓN!$B$4,5,1),0))&gt;=2,CHOOSE(WEEKDAY(DATE(CONFIGURACIÓN!$B$4,5,2),2),"L","M","X","J","V","S","D"),"")</f>
        <v>S</v>
      </c>
      <c r="D5" s="32" t="str">
        <f>IF(DAY(EOMONTH(DATE(CONFIGURACIÓN!$B$4,5,1),0))&gt;=3,CHOOSE(WEEKDAY(DATE(CONFIGURACIÓN!$B$4,5,3),2),"L","M","X","J","V","S","D"),"")</f>
        <v>D</v>
      </c>
      <c r="E5" s="32" t="str">
        <f>IF(DAY(EOMONTH(DATE(CONFIGURACIÓN!$B$4,5,1),0))&gt;=4,CHOOSE(WEEKDAY(DATE(CONFIGURACIÓN!$B$4,5,4),2),"L","M","X","J","V","S","D"),"")</f>
        <v>L</v>
      </c>
      <c r="F5" s="32" t="str">
        <f>IF(DAY(EOMONTH(DATE(CONFIGURACIÓN!$B$4,5,1),0))&gt;=5,CHOOSE(WEEKDAY(DATE(CONFIGURACIÓN!$B$4,5,5),2),"L","M","X","J","V","S","D"),"")</f>
        <v>M</v>
      </c>
      <c r="G5" s="32" t="str">
        <f>IF(DAY(EOMONTH(DATE(CONFIGURACIÓN!$B$4,5,1),0))&gt;=6,CHOOSE(WEEKDAY(DATE(CONFIGURACIÓN!$B$4,5,6),2),"L","M","X","J","V","S","D"),"")</f>
        <v>X</v>
      </c>
      <c r="H5" s="32" t="str">
        <f>IF(DAY(EOMONTH(DATE(CONFIGURACIÓN!$B$4,5,1),0))&gt;=7,CHOOSE(WEEKDAY(DATE(CONFIGURACIÓN!$B$4,5,7),2),"L","M","X","J","V","S","D"),"")</f>
        <v>J</v>
      </c>
      <c r="I5" s="32" t="str">
        <f>IF(DAY(EOMONTH(DATE(CONFIGURACIÓN!$B$4,5,1),0))&gt;=8,CHOOSE(WEEKDAY(DATE(CONFIGURACIÓN!$B$4,5,8),2),"L","M","X","J","V","S","D"),"")</f>
        <v>V</v>
      </c>
      <c r="J5" s="32" t="str">
        <f>IF(DAY(EOMONTH(DATE(CONFIGURACIÓN!$B$4,5,1),0))&gt;=9,CHOOSE(WEEKDAY(DATE(CONFIGURACIÓN!$B$4,5,9),2),"L","M","X","J","V","S","D"),"")</f>
        <v>S</v>
      </c>
      <c r="K5" s="32" t="str">
        <f>IF(DAY(EOMONTH(DATE(CONFIGURACIÓN!$B$4,5,1),0))&gt;=10,CHOOSE(WEEKDAY(DATE(CONFIGURACIÓN!$B$4,5,10),2),"L","M","X","J","V","S","D"),"")</f>
        <v>D</v>
      </c>
      <c r="L5" s="32" t="str">
        <f>IF(DAY(EOMONTH(DATE(CONFIGURACIÓN!$B$4,5,1),0))&gt;=11,CHOOSE(WEEKDAY(DATE(CONFIGURACIÓN!$B$4,5,11),2),"L","M","X","J","V","S","D"),"")</f>
        <v>L</v>
      </c>
      <c r="M5" s="32" t="str">
        <f>IF(DAY(EOMONTH(DATE(CONFIGURACIÓN!$B$4,5,1),0))&gt;=12,CHOOSE(WEEKDAY(DATE(CONFIGURACIÓN!$B$4,5,12),2),"L","M","X","J","V","S","D"),"")</f>
        <v>M</v>
      </c>
      <c r="N5" s="32" t="str">
        <f>IF(DAY(EOMONTH(DATE(CONFIGURACIÓN!$B$4,5,1),0))&gt;=13,CHOOSE(WEEKDAY(DATE(CONFIGURACIÓN!$B$4,5,13),2),"L","M","X","J","V","S","D"),"")</f>
        <v>X</v>
      </c>
      <c r="O5" s="32" t="str">
        <f>IF(DAY(EOMONTH(DATE(CONFIGURACIÓN!$B$4,5,1),0))&gt;=14,CHOOSE(WEEKDAY(DATE(CONFIGURACIÓN!$B$4,5,14),2),"L","M","X","J","V","S","D"),"")</f>
        <v>J</v>
      </c>
      <c r="P5" s="32" t="str">
        <f>IF(DAY(EOMONTH(DATE(CONFIGURACIÓN!$B$4,5,1),0))&gt;=15,CHOOSE(WEEKDAY(DATE(CONFIGURACIÓN!$B$4,5,15),2),"L","M","X","J","V","S","D"),"")</f>
        <v>V</v>
      </c>
      <c r="Q5" s="32" t="str">
        <f>IF(DAY(EOMONTH(DATE(CONFIGURACIÓN!$B$4,5,1),0))&gt;=16,CHOOSE(WEEKDAY(DATE(CONFIGURACIÓN!$B$4,5,16),2),"L","M","X","J","V","S","D"),"")</f>
        <v>S</v>
      </c>
      <c r="R5" s="32" t="str">
        <f>IF(DAY(EOMONTH(DATE(CONFIGURACIÓN!$B$4,5,1),0))&gt;=17,CHOOSE(WEEKDAY(DATE(CONFIGURACIÓN!$B$4,5,17),2),"L","M","X","J","V","S","D"),"")</f>
        <v>D</v>
      </c>
      <c r="S5" s="32" t="str">
        <f>IF(DAY(EOMONTH(DATE(CONFIGURACIÓN!$B$4,5,1),0))&gt;=18,CHOOSE(WEEKDAY(DATE(CONFIGURACIÓN!$B$4,5,18),2),"L","M","X","J","V","S","D"),"")</f>
        <v>L</v>
      </c>
      <c r="T5" s="32" t="str">
        <f>IF(DAY(EOMONTH(DATE(CONFIGURACIÓN!$B$4,5,1),0))&gt;=19,CHOOSE(WEEKDAY(DATE(CONFIGURACIÓN!$B$4,5,19),2),"L","M","X","J","V","S","D"),"")</f>
        <v>M</v>
      </c>
      <c r="U5" s="32" t="str">
        <f>IF(DAY(EOMONTH(DATE(CONFIGURACIÓN!$B$4,5,1),0))&gt;=20,CHOOSE(WEEKDAY(DATE(CONFIGURACIÓN!$B$4,5,20),2),"L","M","X","J","V","S","D"),"")</f>
        <v>X</v>
      </c>
      <c r="V5" s="32" t="str">
        <f>IF(DAY(EOMONTH(DATE(CONFIGURACIÓN!$B$4,5,1),0))&gt;=21,CHOOSE(WEEKDAY(DATE(CONFIGURACIÓN!$B$4,5,21),2),"L","M","X","J","V","S","D"),"")</f>
        <v>J</v>
      </c>
      <c r="W5" s="32" t="str">
        <f>IF(DAY(EOMONTH(DATE(CONFIGURACIÓN!$B$4,5,1),0))&gt;=22,CHOOSE(WEEKDAY(DATE(CONFIGURACIÓN!$B$4,5,22),2),"L","M","X","J","V","S","D"),"")</f>
        <v>V</v>
      </c>
      <c r="X5" s="32" t="str">
        <f>IF(DAY(EOMONTH(DATE(CONFIGURACIÓN!$B$4,5,1),0))&gt;=23,CHOOSE(WEEKDAY(DATE(CONFIGURACIÓN!$B$4,5,23),2),"L","M","X","J","V","S","D"),"")</f>
        <v>S</v>
      </c>
      <c r="Y5" s="32" t="str">
        <f>IF(DAY(EOMONTH(DATE(CONFIGURACIÓN!$B$4,5,1),0))&gt;=24,CHOOSE(WEEKDAY(DATE(CONFIGURACIÓN!$B$4,5,24),2),"L","M","X","J","V","S","D"),"")</f>
        <v>D</v>
      </c>
      <c r="Z5" s="32" t="str">
        <f>IF(DAY(EOMONTH(DATE(CONFIGURACIÓN!$B$4,5,1),0))&gt;=25,CHOOSE(WEEKDAY(DATE(CONFIGURACIÓN!$B$4,5,25),2),"L","M","X","J","V","S","D"),"")</f>
        <v>L</v>
      </c>
      <c r="AA5" s="32" t="str">
        <f>IF(DAY(EOMONTH(DATE(CONFIGURACIÓN!$B$4,5,1),0))&gt;=26,CHOOSE(WEEKDAY(DATE(CONFIGURACIÓN!$B$4,5,26),2),"L","M","X","J","V","S","D"),"")</f>
        <v>M</v>
      </c>
      <c r="AB5" s="32" t="str">
        <f>IF(DAY(EOMONTH(DATE(CONFIGURACIÓN!$B$4,5,1),0))&gt;=27,CHOOSE(WEEKDAY(DATE(CONFIGURACIÓN!$B$4,5,27),2),"L","M","X","J","V","S","D"),"")</f>
        <v>X</v>
      </c>
      <c r="AC5" s="32" t="str">
        <f>IF(DAY(EOMONTH(DATE(CONFIGURACIÓN!$B$4,5,1),0))&gt;=28,CHOOSE(WEEKDAY(DATE(CONFIGURACIÓN!$B$4,5,28),2),"L","M","X","J","V","S","D"),"")</f>
        <v>J</v>
      </c>
      <c r="AD5" s="32" t="str">
        <f>IF(DAY(EOMONTH(DATE(CONFIGURACIÓN!$B$4,5,1),0))&gt;=29,CHOOSE(WEEKDAY(DATE(CONFIGURACIÓN!$B$4,5,29),2),"L","M","X","J","V","S","D"),"")</f>
        <v>V</v>
      </c>
      <c r="AE5" s="32" t="str">
        <f>IF(DAY(EOMONTH(DATE(CONFIGURACIÓN!$B$4,5,1),0))&gt;=30,CHOOSE(WEEKDAY(DATE(CONFIGURACIÓN!$B$4,5,30),2),"L","M","X","J","V","S","D"),"")</f>
        <v>S</v>
      </c>
      <c r="AF5" s="32" t="str">
        <f>IF(DAY(EOMONTH(DATE(CONFIGURACIÓN!$B$4,5,1),0))&gt;=31,CHOOSE(WEEKDAY(DATE(CONFIGURACIÓN!$B$4,5,31),2),"L","M","X","J","V","S","D"),"")</f>
        <v>D</v>
      </c>
    </row>
    <row r="6" spans="1:39" ht="21.95" customHeight="1">
      <c r="A6" s="92"/>
      <c r="B6" s="32">
        <f>IF(DAY(EOMONTH(DATE(CONFIGURACIÓN!$B$4,5,1),0))&gt;=1,1,"")</f>
        <v>1</v>
      </c>
      <c r="C6" s="32">
        <f>IF(DAY(EOMONTH(DATE(CONFIGURACIÓN!$B$4,5,1),0))&gt;=2,2,"")</f>
        <v>2</v>
      </c>
      <c r="D6" s="32">
        <f>IF(DAY(EOMONTH(DATE(CONFIGURACIÓN!$B$4,5,1),0))&gt;=3,3,"")</f>
        <v>3</v>
      </c>
      <c r="E6" s="32">
        <f>IF(DAY(EOMONTH(DATE(CONFIGURACIÓN!$B$4,5,1),0))&gt;=4,4,"")</f>
        <v>4</v>
      </c>
      <c r="F6" s="32">
        <f>IF(DAY(EOMONTH(DATE(CONFIGURACIÓN!$B$4,5,1),0))&gt;=5,5,"")</f>
        <v>5</v>
      </c>
      <c r="G6" s="32">
        <f>IF(DAY(EOMONTH(DATE(CONFIGURACIÓN!$B$4,5,1),0))&gt;=6,6,"")</f>
        <v>6</v>
      </c>
      <c r="H6" s="32">
        <f>IF(DAY(EOMONTH(DATE(CONFIGURACIÓN!$B$4,5,1),0))&gt;=7,7,"")</f>
        <v>7</v>
      </c>
      <c r="I6" s="32">
        <f>IF(DAY(EOMONTH(DATE(CONFIGURACIÓN!$B$4,5,1),0))&gt;=8,8,"")</f>
        <v>8</v>
      </c>
      <c r="J6" s="32">
        <f>IF(DAY(EOMONTH(DATE(CONFIGURACIÓN!$B$4,5,1),0))&gt;=9,9,"")</f>
        <v>9</v>
      </c>
      <c r="K6" s="32">
        <f>IF(DAY(EOMONTH(DATE(CONFIGURACIÓN!$B$4,5,1),0))&gt;=10,10,"")</f>
        <v>10</v>
      </c>
      <c r="L6" s="32">
        <f>IF(DAY(EOMONTH(DATE(CONFIGURACIÓN!$B$4,5,1),0))&gt;=11,11,"")</f>
        <v>11</v>
      </c>
      <c r="M6" s="32">
        <f>IF(DAY(EOMONTH(DATE(CONFIGURACIÓN!$B$4,5,1),0))&gt;=12,12,"")</f>
        <v>12</v>
      </c>
      <c r="N6" s="32">
        <f>IF(DAY(EOMONTH(DATE(CONFIGURACIÓN!$B$4,5,1),0))&gt;=13,13,"")</f>
        <v>13</v>
      </c>
      <c r="O6" s="32">
        <f>IF(DAY(EOMONTH(DATE(CONFIGURACIÓN!$B$4,5,1),0))&gt;=14,14,"")</f>
        <v>14</v>
      </c>
      <c r="P6" s="32">
        <f>IF(DAY(EOMONTH(DATE(CONFIGURACIÓN!$B$4,5,1),0))&gt;=15,15,"")</f>
        <v>15</v>
      </c>
      <c r="Q6" s="32">
        <f>IF(DAY(EOMONTH(DATE(CONFIGURACIÓN!$B$4,5,1),0))&gt;=16,16,"")</f>
        <v>16</v>
      </c>
      <c r="R6" s="32">
        <f>IF(DAY(EOMONTH(DATE(CONFIGURACIÓN!$B$4,5,1),0))&gt;=17,17,"")</f>
        <v>17</v>
      </c>
      <c r="S6" s="32">
        <f>IF(DAY(EOMONTH(DATE(CONFIGURACIÓN!$B$4,5,1),0))&gt;=18,18,"")</f>
        <v>18</v>
      </c>
      <c r="T6" s="32">
        <f>IF(DAY(EOMONTH(DATE(CONFIGURACIÓN!$B$4,5,1),0))&gt;=19,19,"")</f>
        <v>19</v>
      </c>
      <c r="U6" s="32">
        <f>IF(DAY(EOMONTH(DATE(CONFIGURACIÓN!$B$4,5,1),0))&gt;=20,20,"")</f>
        <v>20</v>
      </c>
      <c r="V6" s="32">
        <f>IF(DAY(EOMONTH(DATE(CONFIGURACIÓN!$B$4,5,1),0))&gt;=21,21,"")</f>
        <v>21</v>
      </c>
      <c r="W6" s="32">
        <f>IF(DAY(EOMONTH(DATE(CONFIGURACIÓN!$B$4,5,1),0))&gt;=22,22,"")</f>
        <v>22</v>
      </c>
      <c r="X6" s="32">
        <f>IF(DAY(EOMONTH(DATE(CONFIGURACIÓN!$B$4,5,1),0))&gt;=23,23,"")</f>
        <v>23</v>
      </c>
      <c r="Y6" s="32">
        <f>IF(DAY(EOMONTH(DATE(CONFIGURACIÓN!$B$4,5,1),0))&gt;=24,24,"")</f>
        <v>24</v>
      </c>
      <c r="Z6" s="32">
        <f>IF(DAY(EOMONTH(DATE(CONFIGURACIÓN!$B$4,5,1),0))&gt;=25,25,"")</f>
        <v>25</v>
      </c>
      <c r="AA6" s="32">
        <f>IF(DAY(EOMONTH(DATE(CONFIGURACIÓN!$B$4,5,1),0))&gt;=26,26,"")</f>
        <v>26</v>
      </c>
      <c r="AB6" s="32">
        <f>IF(DAY(EOMONTH(DATE(CONFIGURACIÓN!$B$4,5,1),0))&gt;=27,27,"")</f>
        <v>27</v>
      </c>
      <c r="AC6" s="32">
        <f>IF(DAY(EOMONTH(DATE(CONFIGURACIÓN!$B$4,5,1),0))&gt;=28,28,"")</f>
        <v>28</v>
      </c>
      <c r="AD6" s="32">
        <f>IF(DAY(EOMONTH(DATE(CONFIGURACIÓN!$B$4,5,1),0))&gt;=29,29,"")</f>
        <v>29</v>
      </c>
      <c r="AE6" s="32">
        <f>IF(DAY(EOMONTH(DATE(CONFIGURACIÓN!$B$4,5,1),0))&gt;=30,30,"")</f>
        <v>30</v>
      </c>
      <c r="AF6" s="32">
        <f>IF(DAY(EOMONTH(DATE(CONFIGURACIÓN!$B$4,5,1),0))&gt;=31,31,"")</f>
        <v>31</v>
      </c>
    </row>
    <row r="7" spans="1:39" ht="21.95" customHeight="1">
      <c r="A7" s="92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93" t="s">
        <v>64</v>
      </c>
      <c r="B16" s="93"/>
      <c r="C16" s="93"/>
      <c r="D16" s="93"/>
      <c r="E16" s="93"/>
      <c r="F16" s="93"/>
      <c r="G16" s="93"/>
      <c r="H16" s="93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33" t="s">
        <v>47</v>
      </c>
      <c r="B17" s="33" t="s">
        <v>15</v>
      </c>
      <c r="C17" s="33" t="s">
        <v>66</v>
      </c>
      <c r="D17" s="33" t="s">
        <v>67</v>
      </c>
      <c r="E17" s="33" t="s">
        <v>68</v>
      </c>
      <c r="F17" s="33" t="s">
        <v>69</v>
      </c>
      <c r="G17" s="33" t="s">
        <v>61</v>
      </c>
      <c r="H17" s="33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34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34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34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34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34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34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pans="1:32" ht="24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407" priority="1" operator="equal">
      <formula>"D"</formula>
    </cfRule>
    <cfRule type="cellIs" dxfId="406" priority="2" operator="equal">
      <formula>"S"</formula>
    </cfRule>
  </conditionalFormatting>
  <conditionalFormatting sqref="B8:AF13">
    <cfRule type="expression" dxfId="405" priority="3">
      <formula>AND(B8=$AG$1,$AG$2="VERDE")</formula>
    </cfRule>
    <cfRule type="expression" dxfId="404" priority="4">
      <formula>AND(B8=$AG$1,$AG$2="AZUL")</formula>
    </cfRule>
    <cfRule type="expression" dxfId="403" priority="5">
      <formula>AND(B8=$AG$1,$AG$2="TURQUESA")</formula>
    </cfRule>
    <cfRule type="expression" dxfId="402" priority="6">
      <formula>AND(B8=$AG$1,$AG$2="ROJO")</formula>
    </cfRule>
    <cfRule type="expression" dxfId="401" priority="7">
      <formula>AND(B8=$AG$1,$AG$2="VERDE CLARO")</formula>
    </cfRule>
    <cfRule type="expression" dxfId="400" priority="8">
      <formula>AND(B8=$AG$1,$AG$2="NARANJA")</formula>
    </cfRule>
    <cfRule type="expression" dxfId="399" priority="9">
      <formula>AND(B8=$AG$1,$AG$2="GRIS")</formula>
    </cfRule>
    <cfRule type="expression" dxfId="398" priority="10">
      <formula>AND(B8=$AH$1,$AH$2="VERDE")</formula>
    </cfRule>
    <cfRule type="expression" dxfId="397" priority="11">
      <formula>AND(B8=$AH$1,$AH$2="AZUL")</formula>
    </cfRule>
    <cfRule type="expression" dxfId="396" priority="12">
      <formula>AND(B8=$AH$1,$AH$2="TURQUESA")</formula>
    </cfRule>
    <cfRule type="expression" dxfId="395" priority="13">
      <formula>AND(B8=$AH$1,$AH$2="ROJO")</formula>
    </cfRule>
    <cfRule type="expression" dxfId="394" priority="14">
      <formula>AND(B8=$AH$1,$AH$2="VERDE CLARO")</formula>
    </cfRule>
    <cfRule type="expression" dxfId="393" priority="15">
      <formula>AND(B8=$AH$1,$AH$2="NARANJA")</formula>
    </cfRule>
    <cfRule type="expression" dxfId="392" priority="16">
      <formula>AND(B8=$AH$1,$AH$2="GRIS")</formula>
    </cfRule>
    <cfRule type="expression" dxfId="391" priority="17">
      <formula>AND(B8=$AI$1,$AI$2="VERDE")</formula>
    </cfRule>
    <cfRule type="expression" dxfId="390" priority="18">
      <formula>AND(B8=$AI$1,$AI$2="AZUL")</formula>
    </cfRule>
    <cfRule type="expression" dxfId="389" priority="19">
      <formula>AND(B8=$AI$1,$AI$2="TURQUESA")</formula>
    </cfRule>
    <cfRule type="expression" dxfId="388" priority="20">
      <formula>AND(B8=$AI$1,$AI$2="ROJO")</formula>
    </cfRule>
    <cfRule type="expression" dxfId="387" priority="21">
      <formula>AND(B8=$AI$1,$AI$2="VERDE CLARO")</formula>
    </cfRule>
    <cfRule type="expression" dxfId="386" priority="22">
      <formula>AND(B8=$AI$1,$AI$2="NARANJA")</formula>
    </cfRule>
    <cfRule type="expression" dxfId="385" priority="23">
      <formula>AND(B8=$AI$1,$AI$2="GRIS")</formula>
    </cfRule>
    <cfRule type="expression" dxfId="384" priority="24">
      <formula>AND(B8=$AJ$1,$AJ$2="VERDE")</formula>
    </cfRule>
    <cfRule type="expression" dxfId="383" priority="25">
      <formula>AND(B8=$AJ$1,$AJ$2="AZUL")</formula>
    </cfRule>
    <cfRule type="expression" dxfId="382" priority="26">
      <formula>AND(B8=$AJ$1,$AJ$2="TURQUESA")</formula>
    </cfRule>
    <cfRule type="expression" dxfId="381" priority="27">
      <formula>AND(B8=$AJ$1,$AJ$2="ROJO")</formula>
    </cfRule>
    <cfRule type="expression" dxfId="380" priority="28">
      <formula>AND(B8=$AJ$1,$AJ$2="VERDE CLARO")</formula>
    </cfRule>
    <cfRule type="expression" dxfId="379" priority="29">
      <formula>AND(B8=$AJ$1,$AJ$2="NARANJA")</formula>
    </cfRule>
    <cfRule type="expression" dxfId="378" priority="30">
      <formula>AND(B8=$AJ$1,$AJ$2="GRIS")</formula>
    </cfRule>
    <cfRule type="expression" dxfId="377" priority="31">
      <formula>AND(B8=$AK$1,$AK$2="VERDE")</formula>
    </cfRule>
    <cfRule type="expression" dxfId="376" priority="32">
      <formula>AND(B8=$AK$1,$AK$2="AZUL")</formula>
    </cfRule>
    <cfRule type="expression" dxfId="375" priority="33">
      <formula>AND(B8=$AK$1,$AK$2="TURQUESA")</formula>
    </cfRule>
    <cfRule type="expression" dxfId="374" priority="34">
      <formula>AND(B8=$AK$1,$AK$2="ROJO")</formula>
    </cfRule>
    <cfRule type="expression" dxfId="373" priority="35">
      <formula>AND(B8=$AK$1,$AK$2="VERDE CLARO")</formula>
    </cfRule>
    <cfRule type="expression" dxfId="372" priority="36">
      <formula>AND(B8=$AK$1,$AK$2="NARANJA")</formula>
    </cfRule>
    <cfRule type="expression" dxfId="371" priority="37">
      <formula>AND(B8=$AK$1,$AK$2="GRIS")</formula>
    </cfRule>
    <cfRule type="expression" dxfId="370" priority="38">
      <formula>AND(B8=$AL$1,$AL$2="VERDE")</formula>
    </cfRule>
    <cfRule type="expression" dxfId="369" priority="39">
      <formula>AND(B8=$AL$1,$AL$2="AZUL")</formula>
    </cfRule>
    <cfRule type="expression" dxfId="368" priority="40">
      <formula>AND(B8=$AL$1,$AL$2="TURQUESA")</formula>
    </cfRule>
    <cfRule type="expression" dxfId="367" priority="41">
      <formula>AND(B8=$AL$1,$AL$2="ROJO")</formula>
    </cfRule>
    <cfRule type="expression" dxfId="366" priority="42">
      <formula>AND(B8=$AL$1,$AL$2="VERDE CLARO")</formula>
    </cfRule>
    <cfRule type="expression" dxfId="365" priority="43">
      <formula>AND(B8=$AL$1,$AL$2="NARANJA")</formula>
    </cfRule>
    <cfRule type="expression" dxfId="364" priority="44">
      <formula>AND(B8=$AL$1,$AL$2="GRIS")</formula>
    </cfRule>
    <cfRule type="expression" dxfId="363" priority="45">
      <formula>AND(B8=$AM$1,$AM$2="VERDE")</formula>
    </cfRule>
    <cfRule type="expression" dxfId="362" priority="46">
      <formula>AND(B8=$AM$1,$AM$2="AZUL")</formula>
    </cfRule>
    <cfRule type="expression" dxfId="361" priority="47">
      <formula>AND(B8=$AM$1,$AM$2="TURQUESA")</formula>
    </cfRule>
    <cfRule type="expression" dxfId="360" priority="48">
      <formula>AND(B8=$AM$1,$AM$2="ROJO")</formula>
    </cfRule>
    <cfRule type="expression" dxfId="359" priority="49">
      <formula>AND(B8=$AM$1,$AM$2="VERDE CLARO")</formula>
    </cfRule>
    <cfRule type="expression" dxfId="358" priority="50">
      <formula>AND(B8=$AM$1,$AM$2="NARANJA")</formula>
    </cfRule>
    <cfRule type="expression" dxfId="357" priority="51">
      <formula>AND(B8=$AM$1,$AM$2="GRIS")</formula>
    </cfRule>
  </conditionalFormatting>
  <dataValidations count="1">
    <dataValidation type="list" sqref="B8:AF13" xr:uid="{00000000-0002-0000-0600-000000000000}">
      <formula1>$AG$1:$AM$1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95" t="s">
        <v>62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96" t="str">
        <f>"JUNIO "&amp;CONFIGURACIÓN!B4&amp;" · "&amp;CONFIGURACIÓN!B5</f>
        <v>JUNIO 2026 · CENTRO DE TRABAJO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97" t="s">
        <v>63</v>
      </c>
      <c r="B5" s="35" t="str">
        <f>IF(DAY(EOMONTH(DATE(CONFIGURACIÓN!$B$4,6,1),0))&gt;=1,CHOOSE(WEEKDAY(DATE(CONFIGURACIÓN!$B$4,6,1),2),"L","M","X","J","V","S","D"),"")</f>
        <v>L</v>
      </c>
      <c r="C5" s="35" t="str">
        <f>IF(DAY(EOMONTH(DATE(CONFIGURACIÓN!$B$4,6,1),0))&gt;=2,CHOOSE(WEEKDAY(DATE(CONFIGURACIÓN!$B$4,6,2),2),"L","M","X","J","V","S","D"),"")</f>
        <v>M</v>
      </c>
      <c r="D5" s="35" t="str">
        <f>IF(DAY(EOMONTH(DATE(CONFIGURACIÓN!$B$4,6,1),0))&gt;=3,CHOOSE(WEEKDAY(DATE(CONFIGURACIÓN!$B$4,6,3),2),"L","M","X","J","V","S","D"),"")</f>
        <v>X</v>
      </c>
      <c r="E5" s="35" t="str">
        <f>IF(DAY(EOMONTH(DATE(CONFIGURACIÓN!$B$4,6,1),0))&gt;=4,CHOOSE(WEEKDAY(DATE(CONFIGURACIÓN!$B$4,6,4),2),"L","M","X","J","V","S","D"),"")</f>
        <v>J</v>
      </c>
      <c r="F5" s="35" t="str">
        <f>IF(DAY(EOMONTH(DATE(CONFIGURACIÓN!$B$4,6,1),0))&gt;=5,CHOOSE(WEEKDAY(DATE(CONFIGURACIÓN!$B$4,6,5),2),"L","M","X","J","V","S","D"),"")</f>
        <v>V</v>
      </c>
      <c r="G5" s="35" t="str">
        <f>IF(DAY(EOMONTH(DATE(CONFIGURACIÓN!$B$4,6,1),0))&gt;=6,CHOOSE(WEEKDAY(DATE(CONFIGURACIÓN!$B$4,6,6),2),"L","M","X","J","V","S","D"),"")</f>
        <v>S</v>
      </c>
      <c r="H5" s="35" t="str">
        <f>IF(DAY(EOMONTH(DATE(CONFIGURACIÓN!$B$4,6,1),0))&gt;=7,CHOOSE(WEEKDAY(DATE(CONFIGURACIÓN!$B$4,6,7),2),"L","M","X","J","V","S","D"),"")</f>
        <v>D</v>
      </c>
      <c r="I5" s="35" t="str">
        <f>IF(DAY(EOMONTH(DATE(CONFIGURACIÓN!$B$4,6,1),0))&gt;=8,CHOOSE(WEEKDAY(DATE(CONFIGURACIÓN!$B$4,6,8),2),"L","M","X","J","V","S","D"),"")</f>
        <v>L</v>
      </c>
      <c r="J5" s="35" t="str">
        <f>IF(DAY(EOMONTH(DATE(CONFIGURACIÓN!$B$4,6,1),0))&gt;=9,CHOOSE(WEEKDAY(DATE(CONFIGURACIÓN!$B$4,6,9),2),"L","M","X","J","V","S","D"),"")</f>
        <v>M</v>
      </c>
      <c r="K5" s="35" t="str">
        <f>IF(DAY(EOMONTH(DATE(CONFIGURACIÓN!$B$4,6,1),0))&gt;=10,CHOOSE(WEEKDAY(DATE(CONFIGURACIÓN!$B$4,6,10),2),"L","M","X","J","V","S","D"),"")</f>
        <v>X</v>
      </c>
      <c r="L5" s="35" t="str">
        <f>IF(DAY(EOMONTH(DATE(CONFIGURACIÓN!$B$4,6,1),0))&gt;=11,CHOOSE(WEEKDAY(DATE(CONFIGURACIÓN!$B$4,6,11),2),"L","M","X","J","V","S","D"),"")</f>
        <v>J</v>
      </c>
      <c r="M5" s="35" t="str">
        <f>IF(DAY(EOMONTH(DATE(CONFIGURACIÓN!$B$4,6,1),0))&gt;=12,CHOOSE(WEEKDAY(DATE(CONFIGURACIÓN!$B$4,6,12),2),"L","M","X","J","V","S","D"),"")</f>
        <v>V</v>
      </c>
      <c r="N5" s="35" t="str">
        <f>IF(DAY(EOMONTH(DATE(CONFIGURACIÓN!$B$4,6,1),0))&gt;=13,CHOOSE(WEEKDAY(DATE(CONFIGURACIÓN!$B$4,6,13),2),"L","M","X","J","V","S","D"),"")</f>
        <v>S</v>
      </c>
      <c r="O5" s="35" t="str">
        <f>IF(DAY(EOMONTH(DATE(CONFIGURACIÓN!$B$4,6,1),0))&gt;=14,CHOOSE(WEEKDAY(DATE(CONFIGURACIÓN!$B$4,6,14),2),"L","M","X","J","V","S","D"),"")</f>
        <v>D</v>
      </c>
      <c r="P5" s="35" t="str">
        <f>IF(DAY(EOMONTH(DATE(CONFIGURACIÓN!$B$4,6,1),0))&gt;=15,CHOOSE(WEEKDAY(DATE(CONFIGURACIÓN!$B$4,6,15),2),"L","M","X","J","V","S","D"),"")</f>
        <v>L</v>
      </c>
      <c r="Q5" s="35" t="str">
        <f>IF(DAY(EOMONTH(DATE(CONFIGURACIÓN!$B$4,6,1),0))&gt;=16,CHOOSE(WEEKDAY(DATE(CONFIGURACIÓN!$B$4,6,16),2),"L","M","X","J","V","S","D"),"")</f>
        <v>M</v>
      </c>
      <c r="R5" s="35" t="str">
        <f>IF(DAY(EOMONTH(DATE(CONFIGURACIÓN!$B$4,6,1),0))&gt;=17,CHOOSE(WEEKDAY(DATE(CONFIGURACIÓN!$B$4,6,17),2),"L","M","X","J","V","S","D"),"")</f>
        <v>X</v>
      </c>
      <c r="S5" s="35" t="str">
        <f>IF(DAY(EOMONTH(DATE(CONFIGURACIÓN!$B$4,6,1),0))&gt;=18,CHOOSE(WEEKDAY(DATE(CONFIGURACIÓN!$B$4,6,18),2),"L","M","X","J","V","S","D"),"")</f>
        <v>J</v>
      </c>
      <c r="T5" s="35" t="str">
        <f>IF(DAY(EOMONTH(DATE(CONFIGURACIÓN!$B$4,6,1),0))&gt;=19,CHOOSE(WEEKDAY(DATE(CONFIGURACIÓN!$B$4,6,19),2),"L","M","X","J","V","S","D"),"")</f>
        <v>V</v>
      </c>
      <c r="U5" s="35" t="str">
        <f>IF(DAY(EOMONTH(DATE(CONFIGURACIÓN!$B$4,6,1),0))&gt;=20,CHOOSE(WEEKDAY(DATE(CONFIGURACIÓN!$B$4,6,20),2),"L","M","X","J","V","S","D"),"")</f>
        <v>S</v>
      </c>
      <c r="V5" s="35" t="str">
        <f>IF(DAY(EOMONTH(DATE(CONFIGURACIÓN!$B$4,6,1),0))&gt;=21,CHOOSE(WEEKDAY(DATE(CONFIGURACIÓN!$B$4,6,21),2),"L","M","X","J","V","S","D"),"")</f>
        <v>D</v>
      </c>
      <c r="W5" s="35" t="str">
        <f>IF(DAY(EOMONTH(DATE(CONFIGURACIÓN!$B$4,6,1),0))&gt;=22,CHOOSE(WEEKDAY(DATE(CONFIGURACIÓN!$B$4,6,22),2),"L","M","X","J","V","S","D"),"")</f>
        <v>L</v>
      </c>
      <c r="X5" s="35" t="str">
        <f>IF(DAY(EOMONTH(DATE(CONFIGURACIÓN!$B$4,6,1),0))&gt;=23,CHOOSE(WEEKDAY(DATE(CONFIGURACIÓN!$B$4,6,23),2),"L","M","X","J","V","S","D"),"")</f>
        <v>M</v>
      </c>
      <c r="Y5" s="35" t="str">
        <f>IF(DAY(EOMONTH(DATE(CONFIGURACIÓN!$B$4,6,1),0))&gt;=24,CHOOSE(WEEKDAY(DATE(CONFIGURACIÓN!$B$4,6,24),2),"L","M","X","J","V","S","D"),"")</f>
        <v>X</v>
      </c>
      <c r="Z5" s="35" t="str">
        <f>IF(DAY(EOMONTH(DATE(CONFIGURACIÓN!$B$4,6,1),0))&gt;=25,CHOOSE(WEEKDAY(DATE(CONFIGURACIÓN!$B$4,6,25),2),"L","M","X","J","V","S","D"),"")</f>
        <v>J</v>
      </c>
      <c r="AA5" s="35" t="str">
        <f>IF(DAY(EOMONTH(DATE(CONFIGURACIÓN!$B$4,6,1),0))&gt;=26,CHOOSE(WEEKDAY(DATE(CONFIGURACIÓN!$B$4,6,26),2),"L","M","X","J","V","S","D"),"")</f>
        <v>V</v>
      </c>
      <c r="AB5" s="35" t="str">
        <f>IF(DAY(EOMONTH(DATE(CONFIGURACIÓN!$B$4,6,1),0))&gt;=27,CHOOSE(WEEKDAY(DATE(CONFIGURACIÓN!$B$4,6,27),2),"L","M","X","J","V","S","D"),"")</f>
        <v>S</v>
      </c>
      <c r="AC5" s="35" t="str">
        <f>IF(DAY(EOMONTH(DATE(CONFIGURACIÓN!$B$4,6,1),0))&gt;=28,CHOOSE(WEEKDAY(DATE(CONFIGURACIÓN!$B$4,6,28),2),"L","M","X","J","V","S","D"),"")</f>
        <v>D</v>
      </c>
      <c r="AD5" s="35" t="str">
        <f>IF(DAY(EOMONTH(DATE(CONFIGURACIÓN!$B$4,6,1),0))&gt;=29,CHOOSE(WEEKDAY(DATE(CONFIGURACIÓN!$B$4,6,29),2),"L","M","X","J","V","S","D"),"")</f>
        <v>L</v>
      </c>
      <c r="AE5" s="35" t="str">
        <f>IF(DAY(EOMONTH(DATE(CONFIGURACIÓN!$B$4,6,1),0))&gt;=30,CHOOSE(WEEKDAY(DATE(CONFIGURACIÓN!$B$4,6,30),2),"L","M","X","J","V","S","D"),"")</f>
        <v>M</v>
      </c>
      <c r="AF5" s="35" t="str">
        <f>IF(DAY(EOMONTH(DATE(CONFIGURACIÓN!$B$4,6,1),0))&gt;=31,CHOOSE(WEEKDAY(DATE(CONFIGURACIÓN!$B$4,6,31),2),"L","M","X","J","V","S","D"),"")</f>
        <v/>
      </c>
    </row>
    <row r="6" spans="1:39" ht="21.95" customHeight="1">
      <c r="A6" s="97"/>
      <c r="B6" s="35">
        <f>IF(DAY(EOMONTH(DATE(CONFIGURACIÓN!$B$4,6,1),0))&gt;=1,1,"")</f>
        <v>1</v>
      </c>
      <c r="C6" s="35">
        <f>IF(DAY(EOMONTH(DATE(CONFIGURACIÓN!$B$4,6,1),0))&gt;=2,2,"")</f>
        <v>2</v>
      </c>
      <c r="D6" s="35">
        <f>IF(DAY(EOMONTH(DATE(CONFIGURACIÓN!$B$4,6,1),0))&gt;=3,3,"")</f>
        <v>3</v>
      </c>
      <c r="E6" s="35">
        <f>IF(DAY(EOMONTH(DATE(CONFIGURACIÓN!$B$4,6,1),0))&gt;=4,4,"")</f>
        <v>4</v>
      </c>
      <c r="F6" s="35">
        <f>IF(DAY(EOMONTH(DATE(CONFIGURACIÓN!$B$4,6,1),0))&gt;=5,5,"")</f>
        <v>5</v>
      </c>
      <c r="G6" s="35">
        <f>IF(DAY(EOMONTH(DATE(CONFIGURACIÓN!$B$4,6,1),0))&gt;=6,6,"")</f>
        <v>6</v>
      </c>
      <c r="H6" s="35">
        <f>IF(DAY(EOMONTH(DATE(CONFIGURACIÓN!$B$4,6,1),0))&gt;=7,7,"")</f>
        <v>7</v>
      </c>
      <c r="I6" s="35">
        <f>IF(DAY(EOMONTH(DATE(CONFIGURACIÓN!$B$4,6,1),0))&gt;=8,8,"")</f>
        <v>8</v>
      </c>
      <c r="J6" s="35">
        <f>IF(DAY(EOMONTH(DATE(CONFIGURACIÓN!$B$4,6,1),0))&gt;=9,9,"")</f>
        <v>9</v>
      </c>
      <c r="K6" s="35">
        <f>IF(DAY(EOMONTH(DATE(CONFIGURACIÓN!$B$4,6,1),0))&gt;=10,10,"")</f>
        <v>10</v>
      </c>
      <c r="L6" s="35">
        <f>IF(DAY(EOMONTH(DATE(CONFIGURACIÓN!$B$4,6,1),0))&gt;=11,11,"")</f>
        <v>11</v>
      </c>
      <c r="M6" s="35">
        <f>IF(DAY(EOMONTH(DATE(CONFIGURACIÓN!$B$4,6,1),0))&gt;=12,12,"")</f>
        <v>12</v>
      </c>
      <c r="N6" s="35">
        <f>IF(DAY(EOMONTH(DATE(CONFIGURACIÓN!$B$4,6,1),0))&gt;=13,13,"")</f>
        <v>13</v>
      </c>
      <c r="O6" s="35">
        <f>IF(DAY(EOMONTH(DATE(CONFIGURACIÓN!$B$4,6,1),0))&gt;=14,14,"")</f>
        <v>14</v>
      </c>
      <c r="P6" s="35">
        <f>IF(DAY(EOMONTH(DATE(CONFIGURACIÓN!$B$4,6,1),0))&gt;=15,15,"")</f>
        <v>15</v>
      </c>
      <c r="Q6" s="35">
        <f>IF(DAY(EOMONTH(DATE(CONFIGURACIÓN!$B$4,6,1),0))&gt;=16,16,"")</f>
        <v>16</v>
      </c>
      <c r="R6" s="35">
        <f>IF(DAY(EOMONTH(DATE(CONFIGURACIÓN!$B$4,6,1),0))&gt;=17,17,"")</f>
        <v>17</v>
      </c>
      <c r="S6" s="35">
        <f>IF(DAY(EOMONTH(DATE(CONFIGURACIÓN!$B$4,6,1),0))&gt;=18,18,"")</f>
        <v>18</v>
      </c>
      <c r="T6" s="35">
        <f>IF(DAY(EOMONTH(DATE(CONFIGURACIÓN!$B$4,6,1),0))&gt;=19,19,"")</f>
        <v>19</v>
      </c>
      <c r="U6" s="35">
        <f>IF(DAY(EOMONTH(DATE(CONFIGURACIÓN!$B$4,6,1),0))&gt;=20,20,"")</f>
        <v>20</v>
      </c>
      <c r="V6" s="35">
        <f>IF(DAY(EOMONTH(DATE(CONFIGURACIÓN!$B$4,6,1),0))&gt;=21,21,"")</f>
        <v>21</v>
      </c>
      <c r="W6" s="35">
        <f>IF(DAY(EOMONTH(DATE(CONFIGURACIÓN!$B$4,6,1),0))&gt;=22,22,"")</f>
        <v>22</v>
      </c>
      <c r="X6" s="35">
        <f>IF(DAY(EOMONTH(DATE(CONFIGURACIÓN!$B$4,6,1),0))&gt;=23,23,"")</f>
        <v>23</v>
      </c>
      <c r="Y6" s="35">
        <f>IF(DAY(EOMONTH(DATE(CONFIGURACIÓN!$B$4,6,1),0))&gt;=24,24,"")</f>
        <v>24</v>
      </c>
      <c r="Z6" s="35">
        <f>IF(DAY(EOMONTH(DATE(CONFIGURACIÓN!$B$4,6,1),0))&gt;=25,25,"")</f>
        <v>25</v>
      </c>
      <c r="AA6" s="35">
        <f>IF(DAY(EOMONTH(DATE(CONFIGURACIÓN!$B$4,6,1),0))&gt;=26,26,"")</f>
        <v>26</v>
      </c>
      <c r="AB6" s="35">
        <f>IF(DAY(EOMONTH(DATE(CONFIGURACIÓN!$B$4,6,1),0))&gt;=27,27,"")</f>
        <v>27</v>
      </c>
      <c r="AC6" s="35">
        <f>IF(DAY(EOMONTH(DATE(CONFIGURACIÓN!$B$4,6,1),0))&gt;=28,28,"")</f>
        <v>28</v>
      </c>
      <c r="AD6" s="35">
        <f>IF(DAY(EOMONTH(DATE(CONFIGURACIÓN!$B$4,6,1),0))&gt;=29,29,"")</f>
        <v>29</v>
      </c>
      <c r="AE6" s="35">
        <f>IF(DAY(EOMONTH(DATE(CONFIGURACIÓN!$B$4,6,1),0))&gt;=30,30,"")</f>
        <v>30</v>
      </c>
      <c r="AF6" s="35" t="str">
        <f>IF(DAY(EOMONTH(DATE(CONFIGURACIÓN!$B$4,6,1),0))&gt;=31,31,"")</f>
        <v/>
      </c>
    </row>
    <row r="7" spans="1:39" ht="21.95" customHeight="1">
      <c r="A7" s="97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98" t="s">
        <v>64</v>
      </c>
      <c r="B16" s="98"/>
      <c r="C16" s="98"/>
      <c r="D16" s="98"/>
      <c r="E16" s="98"/>
      <c r="F16" s="98"/>
      <c r="G16" s="98"/>
      <c r="H16" s="98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36" t="s">
        <v>47</v>
      </c>
      <c r="B17" s="36" t="s">
        <v>15</v>
      </c>
      <c r="C17" s="36" t="s">
        <v>66</v>
      </c>
      <c r="D17" s="36" t="s">
        <v>67</v>
      </c>
      <c r="E17" s="36" t="s">
        <v>68</v>
      </c>
      <c r="F17" s="36" t="s">
        <v>69</v>
      </c>
      <c r="G17" s="36" t="s">
        <v>61</v>
      </c>
      <c r="H17" s="36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37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37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37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37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37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37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</row>
    <row r="26" spans="1:32" ht="24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356" priority="1" operator="equal">
      <formula>"D"</formula>
    </cfRule>
    <cfRule type="cellIs" dxfId="355" priority="2" operator="equal">
      <formula>"S"</formula>
    </cfRule>
  </conditionalFormatting>
  <conditionalFormatting sqref="B8:AF13">
    <cfRule type="expression" dxfId="354" priority="3">
      <formula>AND(B8=$AG$1,$AG$2="VERDE")</formula>
    </cfRule>
    <cfRule type="expression" dxfId="353" priority="4">
      <formula>AND(B8=$AG$1,$AG$2="AZUL")</formula>
    </cfRule>
    <cfRule type="expression" dxfId="352" priority="5">
      <formula>AND(B8=$AG$1,$AG$2="TURQUESA")</formula>
    </cfRule>
    <cfRule type="expression" dxfId="351" priority="6">
      <formula>AND(B8=$AG$1,$AG$2="ROJO")</formula>
    </cfRule>
    <cfRule type="expression" dxfId="350" priority="7">
      <formula>AND(B8=$AG$1,$AG$2="VERDE CLARO")</formula>
    </cfRule>
    <cfRule type="expression" dxfId="349" priority="8">
      <formula>AND(B8=$AG$1,$AG$2="NARANJA")</formula>
    </cfRule>
    <cfRule type="expression" dxfId="348" priority="9">
      <formula>AND(B8=$AG$1,$AG$2="GRIS")</formula>
    </cfRule>
    <cfRule type="expression" dxfId="347" priority="10">
      <formula>AND(B8=$AH$1,$AH$2="VERDE")</formula>
    </cfRule>
    <cfRule type="expression" dxfId="346" priority="11">
      <formula>AND(B8=$AH$1,$AH$2="AZUL")</formula>
    </cfRule>
    <cfRule type="expression" dxfId="345" priority="12">
      <formula>AND(B8=$AH$1,$AH$2="TURQUESA")</formula>
    </cfRule>
    <cfRule type="expression" dxfId="344" priority="13">
      <formula>AND(B8=$AH$1,$AH$2="ROJO")</formula>
    </cfRule>
    <cfRule type="expression" dxfId="343" priority="14">
      <formula>AND(B8=$AH$1,$AH$2="VERDE CLARO")</formula>
    </cfRule>
    <cfRule type="expression" dxfId="342" priority="15">
      <formula>AND(B8=$AH$1,$AH$2="NARANJA")</formula>
    </cfRule>
    <cfRule type="expression" dxfId="341" priority="16">
      <formula>AND(B8=$AH$1,$AH$2="GRIS")</formula>
    </cfRule>
    <cfRule type="expression" dxfId="340" priority="17">
      <formula>AND(B8=$AI$1,$AI$2="VERDE")</formula>
    </cfRule>
    <cfRule type="expression" dxfId="339" priority="18">
      <formula>AND(B8=$AI$1,$AI$2="AZUL")</formula>
    </cfRule>
    <cfRule type="expression" dxfId="338" priority="19">
      <formula>AND(B8=$AI$1,$AI$2="TURQUESA")</formula>
    </cfRule>
    <cfRule type="expression" dxfId="337" priority="20">
      <formula>AND(B8=$AI$1,$AI$2="ROJO")</formula>
    </cfRule>
    <cfRule type="expression" dxfId="336" priority="21">
      <formula>AND(B8=$AI$1,$AI$2="VERDE CLARO")</formula>
    </cfRule>
    <cfRule type="expression" dxfId="335" priority="22">
      <formula>AND(B8=$AI$1,$AI$2="NARANJA")</formula>
    </cfRule>
    <cfRule type="expression" dxfId="334" priority="23">
      <formula>AND(B8=$AI$1,$AI$2="GRIS")</formula>
    </cfRule>
    <cfRule type="expression" dxfId="333" priority="24">
      <formula>AND(B8=$AJ$1,$AJ$2="VERDE")</formula>
    </cfRule>
    <cfRule type="expression" dxfId="332" priority="25">
      <formula>AND(B8=$AJ$1,$AJ$2="AZUL")</formula>
    </cfRule>
    <cfRule type="expression" dxfId="331" priority="26">
      <formula>AND(B8=$AJ$1,$AJ$2="TURQUESA")</formula>
    </cfRule>
    <cfRule type="expression" dxfId="330" priority="27">
      <formula>AND(B8=$AJ$1,$AJ$2="ROJO")</formula>
    </cfRule>
    <cfRule type="expression" dxfId="329" priority="28">
      <formula>AND(B8=$AJ$1,$AJ$2="VERDE CLARO")</formula>
    </cfRule>
    <cfRule type="expression" dxfId="328" priority="29">
      <formula>AND(B8=$AJ$1,$AJ$2="NARANJA")</formula>
    </cfRule>
    <cfRule type="expression" dxfId="327" priority="30">
      <formula>AND(B8=$AJ$1,$AJ$2="GRIS")</formula>
    </cfRule>
    <cfRule type="expression" dxfId="326" priority="31">
      <formula>AND(B8=$AK$1,$AK$2="VERDE")</formula>
    </cfRule>
    <cfRule type="expression" dxfId="325" priority="32">
      <formula>AND(B8=$AK$1,$AK$2="AZUL")</formula>
    </cfRule>
    <cfRule type="expression" dxfId="324" priority="33">
      <formula>AND(B8=$AK$1,$AK$2="TURQUESA")</formula>
    </cfRule>
    <cfRule type="expression" dxfId="323" priority="34">
      <formula>AND(B8=$AK$1,$AK$2="ROJO")</formula>
    </cfRule>
    <cfRule type="expression" dxfId="322" priority="35">
      <formula>AND(B8=$AK$1,$AK$2="VERDE CLARO")</formula>
    </cfRule>
    <cfRule type="expression" dxfId="321" priority="36">
      <formula>AND(B8=$AK$1,$AK$2="NARANJA")</formula>
    </cfRule>
    <cfRule type="expression" dxfId="320" priority="37">
      <formula>AND(B8=$AK$1,$AK$2="GRIS")</formula>
    </cfRule>
    <cfRule type="expression" dxfId="319" priority="38">
      <formula>AND(B8=$AL$1,$AL$2="VERDE")</formula>
    </cfRule>
    <cfRule type="expression" dxfId="318" priority="39">
      <formula>AND(B8=$AL$1,$AL$2="AZUL")</formula>
    </cfRule>
    <cfRule type="expression" dxfId="317" priority="40">
      <formula>AND(B8=$AL$1,$AL$2="TURQUESA")</formula>
    </cfRule>
    <cfRule type="expression" dxfId="316" priority="41">
      <formula>AND(B8=$AL$1,$AL$2="ROJO")</formula>
    </cfRule>
    <cfRule type="expression" dxfId="315" priority="42">
      <formula>AND(B8=$AL$1,$AL$2="VERDE CLARO")</formula>
    </cfRule>
    <cfRule type="expression" dxfId="314" priority="43">
      <formula>AND(B8=$AL$1,$AL$2="NARANJA")</formula>
    </cfRule>
    <cfRule type="expression" dxfId="313" priority="44">
      <formula>AND(B8=$AL$1,$AL$2="GRIS")</formula>
    </cfRule>
    <cfRule type="expression" dxfId="312" priority="45">
      <formula>AND(B8=$AM$1,$AM$2="VERDE")</formula>
    </cfRule>
    <cfRule type="expression" dxfId="311" priority="46">
      <formula>AND(B8=$AM$1,$AM$2="AZUL")</formula>
    </cfRule>
    <cfRule type="expression" dxfId="310" priority="47">
      <formula>AND(B8=$AM$1,$AM$2="TURQUESA")</formula>
    </cfRule>
    <cfRule type="expression" dxfId="309" priority="48">
      <formula>AND(B8=$AM$1,$AM$2="ROJO")</formula>
    </cfRule>
    <cfRule type="expression" dxfId="308" priority="49">
      <formula>AND(B8=$AM$1,$AM$2="VERDE CLARO")</formula>
    </cfRule>
    <cfRule type="expression" dxfId="307" priority="50">
      <formula>AND(B8=$AM$1,$AM$2="NARANJA")</formula>
    </cfRule>
    <cfRule type="expression" dxfId="306" priority="51">
      <formula>AND(B8=$AM$1,$AM$2="GRIS")</formula>
    </cfRule>
  </conditionalFormatting>
  <dataValidations count="1">
    <dataValidation type="list" sqref="B8:AF13" xr:uid="{00000000-0002-0000-0700-000000000000}">
      <formula1>$AG$1:$AM$1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26"/>
  <sheetViews>
    <sheetView showGridLines="0" workbookViewId="0"/>
  </sheetViews>
  <sheetFormatPr baseColWidth="10" defaultColWidth="9" defaultRowHeight="14.25"/>
  <cols>
    <col min="1" max="1" width="25" customWidth="1"/>
    <col min="2" max="32" width="7" customWidth="1"/>
  </cols>
  <sheetData>
    <row r="1" spans="1:39" ht="50.1" customHeight="1">
      <c r="C1" s="100" t="s">
        <v>62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G1" t="str">
        <f>CONFIGURACIÓN!A15</f>
        <v>M</v>
      </c>
      <c r="AH1" t="str">
        <f>CONFIGURACIÓN!A16</f>
        <v>T</v>
      </c>
      <c r="AI1" t="str">
        <f>CONFIGURACIÓN!A17</f>
        <v>TN</v>
      </c>
      <c r="AJ1" t="str">
        <f>CONFIGURACIÓN!A18</f>
        <v>N</v>
      </c>
      <c r="AK1" t="str">
        <f>CONFIGURACIÓN!A19</f>
        <v>L</v>
      </c>
      <c r="AL1" t="str">
        <f>CONFIGURACIÓN!A20</f>
        <v>V</v>
      </c>
      <c r="AM1" t="str">
        <f>CONFIGURACIÓN!A21</f>
        <v>B</v>
      </c>
    </row>
    <row r="2" spans="1:39" ht="50.1" customHeight="1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G2" t="str">
        <f>CONFIGURACIÓN!C15</f>
        <v>VERDE</v>
      </c>
      <c r="AH2" t="str">
        <f>CONFIGURACIÓN!C16</f>
        <v>AZUL</v>
      </c>
      <c r="AI2" t="str">
        <f>CONFIGURACIÓN!C17</f>
        <v>TURQUESA</v>
      </c>
      <c r="AJ2" t="str">
        <f>CONFIGURACIÓN!C18</f>
        <v>ROJO</v>
      </c>
      <c r="AK2" t="str">
        <f>CONFIGURACIÓN!C19</f>
        <v>VERDE CLARO</v>
      </c>
      <c r="AL2" t="str">
        <f>CONFIGURACIÓN!C20</f>
        <v>NARANJA</v>
      </c>
      <c r="AM2" t="str">
        <f>CONFIGURACIÓN!C21</f>
        <v>GRIS</v>
      </c>
    </row>
    <row r="3" spans="1:39" ht="35.1" customHeight="1">
      <c r="C3" s="101" t="str">
        <f>"JULIO "&amp;CONFIGURACIÓN!B4&amp;" · "&amp;CONFIGURACIÓN!B5</f>
        <v>JULIO 2026 · CENTRO DE TRABAJO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G3" t="str">
        <f>CONFIGURACIÓN!B15</f>
        <v>09:00-15:30</v>
      </c>
      <c r="AH3" t="str">
        <f>CONFIGURACIÓN!B16</f>
        <v>15:30-22:15</v>
      </c>
      <c r="AI3" t="str">
        <f>CONFIGURACIÓN!B17</f>
        <v>18:00-06:00</v>
      </c>
      <c r="AJ3" t="str">
        <f>CONFIGURACIÓN!B18</f>
        <v>22:00-06:00</v>
      </c>
      <c r="AK3">
        <f>CONFIGURACIÓN!B19</f>
        <v>0</v>
      </c>
      <c r="AL3">
        <f>CONFIGURACIÓN!B20</f>
        <v>0</v>
      </c>
      <c r="AM3">
        <f>CONFIGURACIÓN!B21</f>
        <v>0</v>
      </c>
    </row>
    <row r="4" spans="1:39" ht="20.100000000000001" customHeight="1"/>
    <row r="5" spans="1:39" ht="21.95" customHeight="1">
      <c r="A5" s="102" t="s">
        <v>63</v>
      </c>
      <c r="B5" s="38" t="str">
        <f>IF(DAY(EOMONTH(DATE(CONFIGURACIÓN!$B$4,7,1),0))&gt;=1,CHOOSE(WEEKDAY(DATE(CONFIGURACIÓN!$B$4,7,1),2),"L","M","X","J","V","S","D"),"")</f>
        <v>X</v>
      </c>
      <c r="C5" s="38" t="str">
        <f>IF(DAY(EOMONTH(DATE(CONFIGURACIÓN!$B$4,7,1),0))&gt;=2,CHOOSE(WEEKDAY(DATE(CONFIGURACIÓN!$B$4,7,2),2),"L","M","X","J","V","S","D"),"")</f>
        <v>J</v>
      </c>
      <c r="D5" s="38" t="str">
        <f>IF(DAY(EOMONTH(DATE(CONFIGURACIÓN!$B$4,7,1),0))&gt;=3,CHOOSE(WEEKDAY(DATE(CONFIGURACIÓN!$B$4,7,3),2),"L","M","X","J","V","S","D"),"")</f>
        <v>V</v>
      </c>
      <c r="E5" s="38" t="str">
        <f>IF(DAY(EOMONTH(DATE(CONFIGURACIÓN!$B$4,7,1),0))&gt;=4,CHOOSE(WEEKDAY(DATE(CONFIGURACIÓN!$B$4,7,4),2),"L","M","X","J","V","S","D"),"")</f>
        <v>S</v>
      </c>
      <c r="F5" s="38" t="str">
        <f>IF(DAY(EOMONTH(DATE(CONFIGURACIÓN!$B$4,7,1),0))&gt;=5,CHOOSE(WEEKDAY(DATE(CONFIGURACIÓN!$B$4,7,5),2),"L","M","X","J","V","S","D"),"")</f>
        <v>D</v>
      </c>
      <c r="G5" s="38" t="str">
        <f>IF(DAY(EOMONTH(DATE(CONFIGURACIÓN!$B$4,7,1),0))&gt;=6,CHOOSE(WEEKDAY(DATE(CONFIGURACIÓN!$B$4,7,6),2),"L","M","X","J","V","S","D"),"")</f>
        <v>L</v>
      </c>
      <c r="H5" s="38" t="str">
        <f>IF(DAY(EOMONTH(DATE(CONFIGURACIÓN!$B$4,7,1),0))&gt;=7,CHOOSE(WEEKDAY(DATE(CONFIGURACIÓN!$B$4,7,7),2),"L","M","X","J","V","S","D"),"")</f>
        <v>M</v>
      </c>
      <c r="I5" s="38" t="str">
        <f>IF(DAY(EOMONTH(DATE(CONFIGURACIÓN!$B$4,7,1),0))&gt;=8,CHOOSE(WEEKDAY(DATE(CONFIGURACIÓN!$B$4,7,8),2),"L","M","X","J","V","S","D"),"")</f>
        <v>X</v>
      </c>
      <c r="J5" s="38" t="str">
        <f>IF(DAY(EOMONTH(DATE(CONFIGURACIÓN!$B$4,7,1),0))&gt;=9,CHOOSE(WEEKDAY(DATE(CONFIGURACIÓN!$B$4,7,9),2),"L","M","X","J","V","S","D"),"")</f>
        <v>J</v>
      </c>
      <c r="K5" s="38" t="str">
        <f>IF(DAY(EOMONTH(DATE(CONFIGURACIÓN!$B$4,7,1),0))&gt;=10,CHOOSE(WEEKDAY(DATE(CONFIGURACIÓN!$B$4,7,10),2),"L","M","X","J","V","S","D"),"")</f>
        <v>V</v>
      </c>
      <c r="L5" s="38" t="str">
        <f>IF(DAY(EOMONTH(DATE(CONFIGURACIÓN!$B$4,7,1),0))&gt;=11,CHOOSE(WEEKDAY(DATE(CONFIGURACIÓN!$B$4,7,11),2),"L","M","X","J","V","S","D"),"")</f>
        <v>S</v>
      </c>
      <c r="M5" s="38" t="str">
        <f>IF(DAY(EOMONTH(DATE(CONFIGURACIÓN!$B$4,7,1),0))&gt;=12,CHOOSE(WEEKDAY(DATE(CONFIGURACIÓN!$B$4,7,12),2),"L","M","X","J","V","S","D"),"")</f>
        <v>D</v>
      </c>
      <c r="N5" s="38" t="str">
        <f>IF(DAY(EOMONTH(DATE(CONFIGURACIÓN!$B$4,7,1),0))&gt;=13,CHOOSE(WEEKDAY(DATE(CONFIGURACIÓN!$B$4,7,13),2),"L","M","X","J","V","S","D"),"")</f>
        <v>L</v>
      </c>
      <c r="O5" s="38" t="str">
        <f>IF(DAY(EOMONTH(DATE(CONFIGURACIÓN!$B$4,7,1),0))&gt;=14,CHOOSE(WEEKDAY(DATE(CONFIGURACIÓN!$B$4,7,14),2),"L","M","X","J","V","S","D"),"")</f>
        <v>M</v>
      </c>
      <c r="P5" s="38" t="str">
        <f>IF(DAY(EOMONTH(DATE(CONFIGURACIÓN!$B$4,7,1),0))&gt;=15,CHOOSE(WEEKDAY(DATE(CONFIGURACIÓN!$B$4,7,15),2),"L","M","X","J","V","S","D"),"")</f>
        <v>X</v>
      </c>
      <c r="Q5" s="38" t="str">
        <f>IF(DAY(EOMONTH(DATE(CONFIGURACIÓN!$B$4,7,1),0))&gt;=16,CHOOSE(WEEKDAY(DATE(CONFIGURACIÓN!$B$4,7,16),2),"L","M","X","J","V","S","D"),"")</f>
        <v>J</v>
      </c>
      <c r="R5" s="38" t="str">
        <f>IF(DAY(EOMONTH(DATE(CONFIGURACIÓN!$B$4,7,1),0))&gt;=17,CHOOSE(WEEKDAY(DATE(CONFIGURACIÓN!$B$4,7,17),2),"L","M","X","J","V","S","D"),"")</f>
        <v>V</v>
      </c>
      <c r="S5" s="38" t="str">
        <f>IF(DAY(EOMONTH(DATE(CONFIGURACIÓN!$B$4,7,1),0))&gt;=18,CHOOSE(WEEKDAY(DATE(CONFIGURACIÓN!$B$4,7,18),2),"L","M","X","J","V","S","D"),"")</f>
        <v>S</v>
      </c>
      <c r="T5" s="38" t="str">
        <f>IF(DAY(EOMONTH(DATE(CONFIGURACIÓN!$B$4,7,1),0))&gt;=19,CHOOSE(WEEKDAY(DATE(CONFIGURACIÓN!$B$4,7,19),2),"L","M","X","J","V","S","D"),"")</f>
        <v>D</v>
      </c>
      <c r="U5" s="38" t="str">
        <f>IF(DAY(EOMONTH(DATE(CONFIGURACIÓN!$B$4,7,1),0))&gt;=20,CHOOSE(WEEKDAY(DATE(CONFIGURACIÓN!$B$4,7,20),2),"L","M","X","J","V","S","D"),"")</f>
        <v>L</v>
      </c>
      <c r="V5" s="38" t="str">
        <f>IF(DAY(EOMONTH(DATE(CONFIGURACIÓN!$B$4,7,1),0))&gt;=21,CHOOSE(WEEKDAY(DATE(CONFIGURACIÓN!$B$4,7,21),2),"L","M","X","J","V","S","D"),"")</f>
        <v>M</v>
      </c>
      <c r="W5" s="38" t="str">
        <f>IF(DAY(EOMONTH(DATE(CONFIGURACIÓN!$B$4,7,1),0))&gt;=22,CHOOSE(WEEKDAY(DATE(CONFIGURACIÓN!$B$4,7,22),2),"L","M","X","J","V","S","D"),"")</f>
        <v>X</v>
      </c>
      <c r="X5" s="38" t="str">
        <f>IF(DAY(EOMONTH(DATE(CONFIGURACIÓN!$B$4,7,1),0))&gt;=23,CHOOSE(WEEKDAY(DATE(CONFIGURACIÓN!$B$4,7,23),2),"L","M","X","J","V","S","D"),"")</f>
        <v>J</v>
      </c>
      <c r="Y5" s="38" t="str">
        <f>IF(DAY(EOMONTH(DATE(CONFIGURACIÓN!$B$4,7,1),0))&gt;=24,CHOOSE(WEEKDAY(DATE(CONFIGURACIÓN!$B$4,7,24),2),"L","M","X","J","V","S","D"),"")</f>
        <v>V</v>
      </c>
      <c r="Z5" s="38" t="str">
        <f>IF(DAY(EOMONTH(DATE(CONFIGURACIÓN!$B$4,7,1),0))&gt;=25,CHOOSE(WEEKDAY(DATE(CONFIGURACIÓN!$B$4,7,25),2),"L","M","X","J","V","S","D"),"")</f>
        <v>S</v>
      </c>
      <c r="AA5" s="38" t="str">
        <f>IF(DAY(EOMONTH(DATE(CONFIGURACIÓN!$B$4,7,1),0))&gt;=26,CHOOSE(WEEKDAY(DATE(CONFIGURACIÓN!$B$4,7,26),2),"L","M","X","J","V","S","D"),"")</f>
        <v>D</v>
      </c>
      <c r="AB5" s="38" t="str">
        <f>IF(DAY(EOMONTH(DATE(CONFIGURACIÓN!$B$4,7,1),0))&gt;=27,CHOOSE(WEEKDAY(DATE(CONFIGURACIÓN!$B$4,7,27),2),"L","M","X","J","V","S","D"),"")</f>
        <v>L</v>
      </c>
      <c r="AC5" s="38" t="str">
        <f>IF(DAY(EOMONTH(DATE(CONFIGURACIÓN!$B$4,7,1),0))&gt;=28,CHOOSE(WEEKDAY(DATE(CONFIGURACIÓN!$B$4,7,28),2),"L","M","X","J","V","S","D"),"")</f>
        <v>M</v>
      </c>
      <c r="AD5" s="38" t="str">
        <f>IF(DAY(EOMONTH(DATE(CONFIGURACIÓN!$B$4,7,1),0))&gt;=29,CHOOSE(WEEKDAY(DATE(CONFIGURACIÓN!$B$4,7,29),2),"L","M","X","J","V","S","D"),"")</f>
        <v>X</v>
      </c>
      <c r="AE5" s="38" t="str">
        <f>IF(DAY(EOMONTH(DATE(CONFIGURACIÓN!$B$4,7,1),0))&gt;=30,CHOOSE(WEEKDAY(DATE(CONFIGURACIÓN!$B$4,7,30),2),"L","M","X","J","V","S","D"),"")</f>
        <v>J</v>
      </c>
      <c r="AF5" s="38" t="str">
        <f>IF(DAY(EOMONTH(DATE(CONFIGURACIÓN!$B$4,7,1),0))&gt;=31,CHOOSE(WEEKDAY(DATE(CONFIGURACIÓN!$B$4,7,31),2),"L","M","X","J","V","S","D"),"")</f>
        <v>V</v>
      </c>
    </row>
    <row r="6" spans="1:39" ht="21.95" customHeight="1">
      <c r="A6" s="102"/>
      <c r="B6" s="38">
        <f>IF(DAY(EOMONTH(DATE(CONFIGURACIÓN!$B$4,7,1),0))&gt;=1,1,"")</f>
        <v>1</v>
      </c>
      <c r="C6" s="38">
        <f>IF(DAY(EOMONTH(DATE(CONFIGURACIÓN!$B$4,7,1),0))&gt;=2,2,"")</f>
        <v>2</v>
      </c>
      <c r="D6" s="38">
        <f>IF(DAY(EOMONTH(DATE(CONFIGURACIÓN!$B$4,7,1),0))&gt;=3,3,"")</f>
        <v>3</v>
      </c>
      <c r="E6" s="38">
        <f>IF(DAY(EOMONTH(DATE(CONFIGURACIÓN!$B$4,7,1),0))&gt;=4,4,"")</f>
        <v>4</v>
      </c>
      <c r="F6" s="38">
        <f>IF(DAY(EOMONTH(DATE(CONFIGURACIÓN!$B$4,7,1),0))&gt;=5,5,"")</f>
        <v>5</v>
      </c>
      <c r="G6" s="38">
        <f>IF(DAY(EOMONTH(DATE(CONFIGURACIÓN!$B$4,7,1),0))&gt;=6,6,"")</f>
        <v>6</v>
      </c>
      <c r="H6" s="38">
        <f>IF(DAY(EOMONTH(DATE(CONFIGURACIÓN!$B$4,7,1),0))&gt;=7,7,"")</f>
        <v>7</v>
      </c>
      <c r="I6" s="38">
        <f>IF(DAY(EOMONTH(DATE(CONFIGURACIÓN!$B$4,7,1),0))&gt;=8,8,"")</f>
        <v>8</v>
      </c>
      <c r="J6" s="38">
        <f>IF(DAY(EOMONTH(DATE(CONFIGURACIÓN!$B$4,7,1),0))&gt;=9,9,"")</f>
        <v>9</v>
      </c>
      <c r="K6" s="38">
        <f>IF(DAY(EOMONTH(DATE(CONFIGURACIÓN!$B$4,7,1),0))&gt;=10,10,"")</f>
        <v>10</v>
      </c>
      <c r="L6" s="38">
        <f>IF(DAY(EOMONTH(DATE(CONFIGURACIÓN!$B$4,7,1),0))&gt;=11,11,"")</f>
        <v>11</v>
      </c>
      <c r="M6" s="38">
        <f>IF(DAY(EOMONTH(DATE(CONFIGURACIÓN!$B$4,7,1),0))&gt;=12,12,"")</f>
        <v>12</v>
      </c>
      <c r="N6" s="38">
        <f>IF(DAY(EOMONTH(DATE(CONFIGURACIÓN!$B$4,7,1),0))&gt;=13,13,"")</f>
        <v>13</v>
      </c>
      <c r="O6" s="38">
        <f>IF(DAY(EOMONTH(DATE(CONFIGURACIÓN!$B$4,7,1),0))&gt;=14,14,"")</f>
        <v>14</v>
      </c>
      <c r="P6" s="38">
        <f>IF(DAY(EOMONTH(DATE(CONFIGURACIÓN!$B$4,7,1),0))&gt;=15,15,"")</f>
        <v>15</v>
      </c>
      <c r="Q6" s="38">
        <f>IF(DAY(EOMONTH(DATE(CONFIGURACIÓN!$B$4,7,1),0))&gt;=16,16,"")</f>
        <v>16</v>
      </c>
      <c r="R6" s="38">
        <f>IF(DAY(EOMONTH(DATE(CONFIGURACIÓN!$B$4,7,1),0))&gt;=17,17,"")</f>
        <v>17</v>
      </c>
      <c r="S6" s="38">
        <f>IF(DAY(EOMONTH(DATE(CONFIGURACIÓN!$B$4,7,1),0))&gt;=18,18,"")</f>
        <v>18</v>
      </c>
      <c r="T6" s="38">
        <f>IF(DAY(EOMONTH(DATE(CONFIGURACIÓN!$B$4,7,1),0))&gt;=19,19,"")</f>
        <v>19</v>
      </c>
      <c r="U6" s="38">
        <f>IF(DAY(EOMONTH(DATE(CONFIGURACIÓN!$B$4,7,1),0))&gt;=20,20,"")</f>
        <v>20</v>
      </c>
      <c r="V6" s="38">
        <f>IF(DAY(EOMONTH(DATE(CONFIGURACIÓN!$B$4,7,1),0))&gt;=21,21,"")</f>
        <v>21</v>
      </c>
      <c r="W6" s="38">
        <f>IF(DAY(EOMONTH(DATE(CONFIGURACIÓN!$B$4,7,1),0))&gt;=22,22,"")</f>
        <v>22</v>
      </c>
      <c r="X6" s="38">
        <f>IF(DAY(EOMONTH(DATE(CONFIGURACIÓN!$B$4,7,1),0))&gt;=23,23,"")</f>
        <v>23</v>
      </c>
      <c r="Y6" s="38">
        <f>IF(DAY(EOMONTH(DATE(CONFIGURACIÓN!$B$4,7,1),0))&gt;=24,24,"")</f>
        <v>24</v>
      </c>
      <c r="Z6" s="38">
        <f>IF(DAY(EOMONTH(DATE(CONFIGURACIÓN!$B$4,7,1),0))&gt;=25,25,"")</f>
        <v>25</v>
      </c>
      <c r="AA6" s="38">
        <f>IF(DAY(EOMONTH(DATE(CONFIGURACIÓN!$B$4,7,1),0))&gt;=26,26,"")</f>
        <v>26</v>
      </c>
      <c r="AB6" s="38">
        <f>IF(DAY(EOMONTH(DATE(CONFIGURACIÓN!$B$4,7,1),0))&gt;=27,27,"")</f>
        <v>27</v>
      </c>
      <c r="AC6" s="38">
        <f>IF(DAY(EOMONTH(DATE(CONFIGURACIÓN!$B$4,7,1),0))&gt;=28,28,"")</f>
        <v>28</v>
      </c>
      <c r="AD6" s="38">
        <f>IF(DAY(EOMONTH(DATE(CONFIGURACIÓN!$B$4,7,1),0))&gt;=29,29,"")</f>
        <v>29</v>
      </c>
      <c r="AE6" s="38">
        <f>IF(DAY(EOMONTH(DATE(CONFIGURACIÓN!$B$4,7,1),0))&gt;=30,30,"")</f>
        <v>30</v>
      </c>
      <c r="AF6" s="38">
        <f>IF(DAY(EOMONTH(DATE(CONFIGURACIÓN!$B$4,7,1),0))&gt;=31,31,"")</f>
        <v>31</v>
      </c>
    </row>
    <row r="7" spans="1:39" ht="21.95" customHeight="1">
      <c r="A7" s="102"/>
      <c r="B7" s="18" t="s">
        <v>12</v>
      </c>
      <c r="C7" s="18" t="s">
        <v>12</v>
      </c>
      <c r="D7" s="18" t="s">
        <v>12</v>
      </c>
      <c r="E7" s="18" t="s">
        <v>12</v>
      </c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 t="s">
        <v>12</v>
      </c>
      <c r="L7" s="18" t="s">
        <v>12</v>
      </c>
      <c r="M7" s="18" t="s">
        <v>12</v>
      </c>
      <c r="N7" s="18" t="s">
        <v>12</v>
      </c>
      <c r="O7" s="18" t="s">
        <v>12</v>
      </c>
      <c r="P7" s="18" t="s">
        <v>12</v>
      </c>
      <c r="Q7" s="18" t="s">
        <v>12</v>
      </c>
      <c r="R7" s="18" t="s">
        <v>12</v>
      </c>
      <c r="S7" s="18" t="s">
        <v>12</v>
      </c>
      <c r="T7" s="18" t="s">
        <v>12</v>
      </c>
      <c r="U7" s="18" t="s">
        <v>12</v>
      </c>
      <c r="V7" s="18" t="s">
        <v>12</v>
      </c>
      <c r="W7" s="18" t="s">
        <v>12</v>
      </c>
      <c r="X7" s="18" t="s">
        <v>12</v>
      </c>
      <c r="Y7" s="18" t="s">
        <v>12</v>
      </c>
      <c r="Z7" s="18" t="s">
        <v>12</v>
      </c>
      <c r="AA7" s="18" t="s">
        <v>12</v>
      </c>
      <c r="AB7" s="18" t="s">
        <v>12</v>
      </c>
      <c r="AC7" s="18" t="s">
        <v>12</v>
      </c>
      <c r="AD7" s="18" t="s">
        <v>12</v>
      </c>
      <c r="AE7" s="18" t="s">
        <v>12</v>
      </c>
      <c r="AF7" s="18" t="s">
        <v>12</v>
      </c>
    </row>
    <row r="8" spans="1:39" ht="42" customHeight="1">
      <c r="A8" s="19" t="str">
        <f>CONFIGURACIÓN!B7</f>
        <v>NOMBRE Y APELLIDOS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9" ht="42" customHeight="1">
      <c r="A9" s="19" t="str">
        <f>CONFIGURACIÓN!B8</f>
        <v>NOMBRE Y APELLIDOS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9" ht="42" customHeight="1">
      <c r="A10" s="19" t="str">
        <f>CONFIGURACIÓN!B9</f>
        <v>NOMBRE Y APELLIDOS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9" ht="42" customHeight="1">
      <c r="A11" s="19" t="str">
        <f>CONFIGURACIÓN!B10</f>
        <v>NOMBRE Y APELLIDOS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9" ht="42" customHeight="1">
      <c r="A12" s="19" t="str">
        <f>CONFIGURACIÓN!B11</f>
        <v>NOMBRE Y APELLIDOS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9" ht="42" customHeight="1">
      <c r="A13" s="19" t="str">
        <f>CONFIGURACIÓN!B12</f>
        <v>NOMBRE Y APELLIDOS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6" spans="1:39" ht="15">
      <c r="A16" s="103" t="s">
        <v>64</v>
      </c>
      <c r="B16" s="103"/>
      <c r="C16" s="103"/>
      <c r="D16" s="103"/>
      <c r="E16" s="103"/>
      <c r="F16" s="103"/>
      <c r="G16" s="103"/>
      <c r="H16" s="103"/>
      <c r="J16" s="57" t="s">
        <v>65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</row>
    <row r="17" spans="1:32" ht="27.95" customHeight="1">
      <c r="A17" s="39" t="s">
        <v>47</v>
      </c>
      <c r="B17" s="39" t="s">
        <v>15</v>
      </c>
      <c r="C17" s="39" t="s">
        <v>66</v>
      </c>
      <c r="D17" s="39" t="s">
        <v>67</v>
      </c>
      <c r="E17" s="39" t="s">
        <v>68</v>
      </c>
      <c r="F17" s="39" t="s">
        <v>69</v>
      </c>
      <c r="G17" s="39" t="s">
        <v>61</v>
      </c>
      <c r="H17" s="39" t="s">
        <v>70</v>
      </c>
      <c r="J17" s="65" t="s">
        <v>71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</row>
    <row r="18" spans="1:32" ht="15">
      <c r="A18" s="14" t="str">
        <f>CONFIGURACIÓN!B7</f>
        <v>NOMBRE Y APELLIDOS</v>
      </c>
      <c r="B18" s="40">
        <f>COUNTIF(B8:AF8,CONFIGURACIÓN!A15)*CONFIGURACIÓN!D15+COUNTIF(B8:AF8,CONFIGURACIÓN!A16)*CONFIGURACIÓN!D16+COUNTIF(B8:AF8,CONFIGURACIÓN!A17)*CONFIGURACIÓN!D17+COUNTIF(B8:AF8,CONFIGURACIÓN!A18)*CONFIGURACIÓN!D18</f>
        <v>0</v>
      </c>
      <c r="C18" s="15">
        <f>COUNTIF(B8:AF8,CONFIGURACIÓN!A15)</f>
        <v>0</v>
      </c>
      <c r="D18" s="15">
        <f>COUNTIF(B8:AF8,CONFIGURACIÓN!A16)+COUNTIF(B8:AF8,CONFIGURACIÓN!A17)</f>
        <v>0</v>
      </c>
      <c r="E18" s="15">
        <f>COUNTIF(B8:AF8,CONFIGURACIÓN!A18)</f>
        <v>0</v>
      </c>
      <c r="F18" s="15">
        <f>COUNTIF(B8:AF8,CONFIGURACIÓN!A19)</f>
        <v>0</v>
      </c>
      <c r="G18" s="15">
        <f>COUNTIF(B8:AF8,CONFIGURACIÓN!A20)</f>
        <v>0</v>
      </c>
      <c r="H18" s="15">
        <f>COUNTIF(B8:AF8,CONFIGURACIÓN!A21)</f>
        <v>0</v>
      </c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70"/>
    </row>
    <row r="19" spans="1:32" ht="15">
      <c r="A19" s="14" t="str">
        <f>CONFIGURACIÓN!B8</f>
        <v>NOMBRE Y APELLIDOS</v>
      </c>
      <c r="B19" s="40">
        <f>COUNTIF(B9:AF9,CONFIGURACIÓN!A15)*CONFIGURACIÓN!D15+COUNTIF(B9:AF9,CONFIGURACIÓN!A16)*CONFIGURACIÓN!D16+COUNTIF(B9:AF9,CONFIGURACIÓN!A17)*CONFIGURACIÓN!D17+COUNTIF(B9:AF9,CONFIGURACIÓN!A18)*CONFIGURACIÓN!D18</f>
        <v>0</v>
      </c>
      <c r="C19" s="15">
        <f>COUNTIF(B9:AF9,CONFIGURACIÓN!A15)</f>
        <v>0</v>
      </c>
      <c r="D19" s="15">
        <f>COUNTIF(B9:AF9,CONFIGURACIÓN!A16)+COUNTIF(B9:AF9,CONFIGURACIÓN!A17)</f>
        <v>0</v>
      </c>
      <c r="E19" s="15">
        <f>COUNTIF(B9:AF9,CONFIGURACIÓN!A18)</f>
        <v>0</v>
      </c>
      <c r="F19" s="15">
        <f>COUNTIF(B9:AF9,CONFIGURACIÓN!A19)</f>
        <v>0</v>
      </c>
      <c r="G19" s="15">
        <f>COUNTIF(B9:AF9,CONFIGURACIÓN!A20)</f>
        <v>0</v>
      </c>
      <c r="H19" s="15">
        <f>COUNTIF(B9:AF9,CONFIGURACIÓN!A21)</f>
        <v>0</v>
      </c>
      <c r="J19" s="68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</row>
    <row r="20" spans="1:32" ht="15">
      <c r="A20" s="14" t="str">
        <f>CONFIGURACIÓN!B9</f>
        <v>NOMBRE Y APELLIDOS</v>
      </c>
      <c r="B20" s="40">
        <f>COUNTIF(B10:AF10,CONFIGURACIÓN!A15)*CONFIGURACIÓN!D15+COUNTIF(B10:AF10,CONFIGURACIÓN!A16)*CONFIGURACIÓN!D16+COUNTIF(B10:AF10,CONFIGURACIÓN!A17)*CONFIGURACIÓN!D17+COUNTIF(B10:AF10,CONFIGURACIÓN!A18)*CONFIGURACIÓN!D18</f>
        <v>0</v>
      </c>
      <c r="C20" s="15">
        <f>COUNTIF(B10:AF10,CONFIGURACIÓN!A15)</f>
        <v>0</v>
      </c>
      <c r="D20" s="15">
        <f>COUNTIF(B10:AF10,CONFIGURACIÓN!A16)+COUNTIF(B10:AF10,CONFIGURACIÓN!A17)</f>
        <v>0</v>
      </c>
      <c r="E20" s="15">
        <f>COUNTIF(B10:AF10,CONFIGURACIÓN!A18)</f>
        <v>0</v>
      </c>
      <c r="F20" s="15">
        <f>COUNTIF(B10:AF10,CONFIGURACIÓN!A19)</f>
        <v>0</v>
      </c>
      <c r="G20" s="15">
        <f>COUNTIF(B10:AF10,CONFIGURACIÓN!A20)</f>
        <v>0</v>
      </c>
      <c r="H20" s="15">
        <f>COUNTIF(B10:AF10,CONFIGURACIÓN!A21)</f>
        <v>0</v>
      </c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1:32" ht="15">
      <c r="A21" s="14" t="str">
        <f>CONFIGURACIÓN!B10</f>
        <v>NOMBRE Y APELLIDOS</v>
      </c>
      <c r="B21" s="40">
        <f>COUNTIF(B11:AF11,CONFIGURACIÓN!A15)*CONFIGURACIÓN!D15+COUNTIF(B11:AF11,CONFIGURACIÓN!A16)*CONFIGURACIÓN!D16+COUNTIF(B11:AF11,CONFIGURACIÓN!A17)*CONFIGURACIÓN!D17+COUNTIF(B11:AF11,CONFIGURACIÓN!A18)*CONFIGURACIÓN!D18</f>
        <v>0</v>
      </c>
      <c r="C21" s="15">
        <f>COUNTIF(B11:AF11,CONFIGURACIÓN!A15)</f>
        <v>0</v>
      </c>
      <c r="D21" s="15">
        <f>COUNTIF(B11:AF11,CONFIGURACIÓN!A16)+COUNTIF(B11:AF11,CONFIGURACIÓN!A17)</f>
        <v>0</v>
      </c>
      <c r="E21" s="15">
        <f>COUNTIF(B11:AF11,CONFIGURACIÓN!A18)</f>
        <v>0</v>
      </c>
      <c r="F21" s="15">
        <f>COUNTIF(B11:AF11,CONFIGURACIÓN!A19)</f>
        <v>0</v>
      </c>
      <c r="G21" s="15">
        <f>COUNTIF(B11:AF11,CONFIGURACIÓN!A20)</f>
        <v>0</v>
      </c>
      <c r="H21" s="15">
        <f>COUNTIF(B11:AF11,CONFIGURACIÓN!A21)</f>
        <v>0</v>
      </c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</row>
    <row r="22" spans="1:32" ht="15">
      <c r="A22" s="14" t="str">
        <f>CONFIGURACIÓN!B11</f>
        <v>NOMBRE Y APELLIDOS</v>
      </c>
      <c r="B22" s="40">
        <f>COUNTIF(B12:AF12,CONFIGURACIÓN!A15)*CONFIGURACIÓN!D15+COUNTIF(B12:AF12,CONFIGURACIÓN!A16)*CONFIGURACIÓN!D16+COUNTIF(B12:AF12,CONFIGURACIÓN!A17)*CONFIGURACIÓN!D17+COUNTIF(B12:AF12,CONFIGURACIÓN!A18)*CONFIGURACIÓN!D18</f>
        <v>0</v>
      </c>
      <c r="C22" s="15">
        <f>COUNTIF(B12:AF12,CONFIGURACIÓN!A15)</f>
        <v>0</v>
      </c>
      <c r="D22" s="15">
        <f>COUNTIF(B12:AF12,CONFIGURACIÓN!A16)+COUNTIF(B12:AF12,CONFIGURACIÓN!A17)</f>
        <v>0</v>
      </c>
      <c r="E22" s="15">
        <f>COUNTIF(B12:AF12,CONFIGURACIÓN!A18)</f>
        <v>0</v>
      </c>
      <c r="F22" s="15">
        <f>COUNTIF(B12:AF12,CONFIGURACIÓN!A19)</f>
        <v>0</v>
      </c>
      <c r="G22" s="15">
        <f>COUNTIF(B12:AF12,CONFIGURACIÓN!A20)</f>
        <v>0</v>
      </c>
      <c r="H22" s="15">
        <f>COUNTIF(B12:AF12,CONFIGURACIÓN!A21)</f>
        <v>0</v>
      </c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2" ht="15">
      <c r="A23" s="14" t="str">
        <f>CONFIGURACIÓN!B12</f>
        <v>NOMBRE Y APELLIDOS</v>
      </c>
      <c r="B23" s="40">
        <f>COUNTIF(B13:AF13,CONFIGURACIÓN!A15)*CONFIGURACIÓN!D15+COUNTIF(B13:AF13,CONFIGURACIÓN!A16)*CONFIGURACIÓN!D16+COUNTIF(B13:AF13,CONFIGURACIÓN!A17)*CONFIGURACIÓN!D17+COUNTIF(B13:AF13,CONFIGURACIÓN!A18)*CONFIGURACIÓN!D18</f>
        <v>0</v>
      </c>
      <c r="C23" s="15">
        <f>COUNTIF(B13:AF13,CONFIGURACIÓN!A15)</f>
        <v>0</v>
      </c>
      <c r="D23" s="15">
        <f>COUNTIF(B13:AF13,CONFIGURACIÓN!A16)+COUNTIF(B13:AF13,CONFIGURACIÓN!A17)</f>
        <v>0</v>
      </c>
      <c r="E23" s="15">
        <f>COUNTIF(B13:AF13,CONFIGURACIÓN!A18)</f>
        <v>0</v>
      </c>
      <c r="F23" s="15">
        <f>COUNTIF(B13:AF13,CONFIGURACIÓN!A19)</f>
        <v>0</v>
      </c>
      <c r="G23" s="15">
        <f>COUNTIF(B13:AF13,CONFIGURACIÓN!A20)</f>
        <v>0</v>
      </c>
      <c r="H23" s="15">
        <f>COUNTIF(B13:AF13,CONFIGURACIÓN!A21)</f>
        <v>0</v>
      </c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5" spans="1:32" ht="24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</row>
    <row r="26" spans="1:32" ht="24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</row>
  </sheetData>
  <sheetProtection password="CC3D" sheet="1" objects="1" formatCells="0" formatColumns="0" formatRows="0" insertColumns="0" insertRows="0" insertHyperlinks="0" deleteColumns="0" deleteRows="0" sort="0" autoFilter="0" pivotTables="0"/>
  <mergeCells count="7">
    <mergeCell ref="J17:AF23"/>
    <mergeCell ref="A25:AF26"/>
    <mergeCell ref="C1:Z2"/>
    <mergeCell ref="C3:Z3"/>
    <mergeCell ref="A5:A7"/>
    <mergeCell ref="A16:H16"/>
    <mergeCell ref="J16:AF16"/>
  </mergeCells>
  <conditionalFormatting sqref="B5:AF5">
    <cfRule type="cellIs" dxfId="305" priority="1" operator="equal">
      <formula>"D"</formula>
    </cfRule>
    <cfRule type="cellIs" dxfId="304" priority="2" operator="equal">
      <formula>"S"</formula>
    </cfRule>
  </conditionalFormatting>
  <conditionalFormatting sqref="B8:AF13">
    <cfRule type="expression" dxfId="303" priority="3">
      <formula>AND(B8=$AG$1,$AG$2="VERDE")</formula>
    </cfRule>
    <cfRule type="expression" dxfId="302" priority="4">
      <formula>AND(B8=$AG$1,$AG$2="AZUL")</formula>
    </cfRule>
    <cfRule type="expression" dxfId="301" priority="5">
      <formula>AND(B8=$AG$1,$AG$2="TURQUESA")</formula>
    </cfRule>
    <cfRule type="expression" dxfId="300" priority="6">
      <formula>AND(B8=$AG$1,$AG$2="ROJO")</formula>
    </cfRule>
    <cfRule type="expression" dxfId="299" priority="7">
      <formula>AND(B8=$AG$1,$AG$2="VERDE CLARO")</formula>
    </cfRule>
    <cfRule type="expression" dxfId="298" priority="8">
      <formula>AND(B8=$AG$1,$AG$2="NARANJA")</formula>
    </cfRule>
    <cfRule type="expression" dxfId="297" priority="9">
      <formula>AND(B8=$AG$1,$AG$2="GRIS")</formula>
    </cfRule>
    <cfRule type="expression" dxfId="296" priority="10">
      <formula>AND(B8=$AH$1,$AH$2="VERDE")</formula>
    </cfRule>
    <cfRule type="expression" dxfId="295" priority="11">
      <formula>AND(B8=$AH$1,$AH$2="AZUL")</formula>
    </cfRule>
    <cfRule type="expression" dxfId="294" priority="12">
      <formula>AND(B8=$AH$1,$AH$2="TURQUESA")</formula>
    </cfRule>
    <cfRule type="expression" dxfId="293" priority="13">
      <formula>AND(B8=$AH$1,$AH$2="ROJO")</formula>
    </cfRule>
    <cfRule type="expression" dxfId="292" priority="14">
      <formula>AND(B8=$AH$1,$AH$2="VERDE CLARO")</formula>
    </cfRule>
    <cfRule type="expression" dxfId="291" priority="15">
      <formula>AND(B8=$AH$1,$AH$2="NARANJA")</formula>
    </cfRule>
    <cfRule type="expression" dxfId="290" priority="16">
      <formula>AND(B8=$AH$1,$AH$2="GRIS")</formula>
    </cfRule>
    <cfRule type="expression" dxfId="289" priority="17">
      <formula>AND(B8=$AI$1,$AI$2="VERDE")</formula>
    </cfRule>
    <cfRule type="expression" dxfId="288" priority="18">
      <formula>AND(B8=$AI$1,$AI$2="AZUL")</formula>
    </cfRule>
    <cfRule type="expression" dxfId="287" priority="19">
      <formula>AND(B8=$AI$1,$AI$2="TURQUESA")</formula>
    </cfRule>
    <cfRule type="expression" dxfId="286" priority="20">
      <formula>AND(B8=$AI$1,$AI$2="ROJO")</formula>
    </cfRule>
    <cfRule type="expression" dxfId="285" priority="21">
      <formula>AND(B8=$AI$1,$AI$2="VERDE CLARO")</formula>
    </cfRule>
    <cfRule type="expression" dxfId="284" priority="22">
      <formula>AND(B8=$AI$1,$AI$2="NARANJA")</formula>
    </cfRule>
    <cfRule type="expression" dxfId="283" priority="23">
      <formula>AND(B8=$AI$1,$AI$2="GRIS")</formula>
    </cfRule>
    <cfRule type="expression" dxfId="282" priority="24">
      <formula>AND(B8=$AJ$1,$AJ$2="VERDE")</formula>
    </cfRule>
    <cfRule type="expression" dxfId="281" priority="25">
      <formula>AND(B8=$AJ$1,$AJ$2="AZUL")</formula>
    </cfRule>
    <cfRule type="expression" dxfId="280" priority="26">
      <formula>AND(B8=$AJ$1,$AJ$2="TURQUESA")</formula>
    </cfRule>
    <cfRule type="expression" dxfId="279" priority="27">
      <formula>AND(B8=$AJ$1,$AJ$2="ROJO")</formula>
    </cfRule>
    <cfRule type="expression" dxfId="278" priority="28">
      <formula>AND(B8=$AJ$1,$AJ$2="VERDE CLARO")</formula>
    </cfRule>
    <cfRule type="expression" dxfId="277" priority="29">
      <formula>AND(B8=$AJ$1,$AJ$2="NARANJA")</formula>
    </cfRule>
    <cfRule type="expression" dxfId="276" priority="30">
      <formula>AND(B8=$AJ$1,$AJ$2="GRIS")</formula>
    </cfRule>
    <cfRule type="expression" dxfId="275" priority="31">
      <formula>AND(B8=$AK$1,$AK$2="VERDE")</formula>
    </cfRule>
    <cfRule type="expression" dxfId="274" priority="32">
      <formula>AND(B8=$AK$1,$AK$2="AZUL")</formula>
    </cfRule>
    <cfRule type="expression" dxfId="273" priority="33">
      <formula>AND(B8=$AK$1,$AK$2="TURQUESA")</formula>
    </cfRule>
    <cfRule type="expression" dxfId="272" priority="34">
      <formula>AND(B8=$AK$1,$AK$2="ROJO")</formula>
    </cfRule>
    <cfRule type="expression" dxfId="271" priority="35">
      <formula>AND(B8=$AK$1,$AK$2="VERDE CLARO")</formula>
    </cfRule>
    <cfRule type="expression" dxfId="270" priority="36">
      <formula>AND(B8=$AK$1,$AK$2="NARANJA")</formula>
    </cfRule>
    <cfRule type="expression" dxfId="269" priority="37">
      <formula>AND(B8=$AK$1,$AK$2="GRIS")</formula>
    </cfRule>
    <cfRule type="expression" dxfId="268" priority="38">
      <formula>AND(B8=$AL$1,$AL$2="VERDE")</formula>
    </cfRule>
    <cfRule type="expression" dxfId="267" priority="39">
      <formula>AND(B8=$AL$1,$AL$2="AZUL")</formula>
    </cfRule>
    <cfRule type="expression" dxfId="266" priority="40">
      <formula>AND(B8=$AL$1,$AL$2="TURQUESA")</formula>
    </cfRule>
    <cfRule type="expression" dxfId="265" priority="41">
      <formula>AND(B8=$AL$1,$AL$2="ROJO")</formula>
    </cfRule>
    <cfRule type="expression" dxfId="264" priority="42">
      <formula>AND(B8=$AL$1,$AL$2="VERDE CLARO")</formula>
    </cfRule>
    <cfRule type="expression" dxfId="263" priority="43">
      <formula>AND(B8=$AL$1,$AL$2="NARANJA")</formula>
    </cfRule>
    <cfRule type="expression" dxfId="262" priority="44">
      <formula>AND(B8=$AL$1,$AL$2="GRIS")</formula>
    </cfRule>
    <cfRule type="expression" dxfId="261" priority="45">
      <formula>AND(B8=$AM$1,$AM$2="VERDE")</formula>
    </cfRule>
    <cfRule type="expression" dxfId="260" priority="46">
      <formula>AND(B8=$AM$1,$AM$2="AZUL")</formula>
    </cfRule>
    <cfRule type="expression" dxfId="259" priority="47">
      <formula>AND(B8=$AM$1,$AM$2="TURQUESA")</formula>
    </cfRule>
    <cfRule type="expression" dxfId="258" priority="48">
      <formula>AND(B8=$AM$1,$AM$2="ROJO")</formula>
    </cfRule>
    <cfRule type="expression" dxfId="257" priority="49">
      <formula>AND(B8=$AM$1,$AM$2="VERDE CLARO")</formula>
    </cfRule>
    <cfRule type="expression" dxfId="256" priority="50">
      <formula>AND(B8=$AM$1,$AM$2="NARANJA")</formula>
    </cfRule>
    <cfRule type="expression" dxfId="255" priority="51">
      <formula>AND(B8=$AM$1,$AM$2="GRIS")</formula>
    </cfRule>
  </conditionalFormatting>
  <dataValidations count="1">
    <dataValidation type="list" sqref="B8:AF13" xr:uid="{00000000-0002-0000-0800-000000000000}">
      <formula1>$AG$1:$AM$1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CONFIGURACIÓN</vt:lpstr>
      <vt:lpstr>RESUMEN ANUAL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Seguridad y Empresa</cp:lastModifiedBy>
  <dcterms:created xsi:type="dcterms:W3CDTF">2026-07-23T17:32:37Z</dcterms:created>
  <dcterms:modified xsi:type="dcterms:W3CDTF">2026-07-23T17:33:09Z</dcterms:modified>
</cp:coreProperties>
</file>